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https://undp-my.sharepoint.com/personal/symon_nkonoki_undp_org/Documents/Desktop/2 MY UNDP PROJECTS/15 WORLD BANK PROPOSAL/NEW/"/>
    </mc:Choice>
  </mc:AlternateContent>
  <xr:revisionPtr revIDLastSave="207" documentId="13_ncr:1_{F4D3EF62-E813-F249-BC86-6236FCF39DF2}" xr6:coauthVersionLast="47" xr6:coauthVersionMax="47" xr10:uidLastSave="{50D4934D-D031-47FA-9124-5C5B0C8CF37E}"/>
  <bookViews>
    <workbookView xWindow="-108" yWindow="-108" windowWidth="23256" windowHeight="12456" activeTab="2" xr2:uid="{00000000-000D-0000-FFFF-FFFF00000000}"/>
  </bookViews>
  <sheets>
    <sheet name="Detailed Budget" sheetId="1" state="hidden" r:id="rId1"/>
    <sheet name="UNDP TASFAM Workplan" sheetId="2" r:id="rId2"/>
    <sheet name="QUANTUM PROJECT LAYOUT" sheetId="6" r:id="rId3"/>
    <sheet name="Workplan Inputs" sheetId="4" state="hidden" r:id="rId4"/>
    <sheet name="Old Budget" sheetId="5" state="hidden" r:id="rId5"/>
  </sheets>
  <definedNames>
    <definedName name="_xlnm._FilterDatabase" localSheetId="1" hidden="1">'UNDP TASFAM Workplan'!$A$1:$H$121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3" i="6" l="1"/>
  <c r="K13" i="6"/>
  <c r="J13" i="6"/>
  <c r="H15" i="6" l="1"/>
  <c r="H17" i="6" s="1"/>
  <c r="H12" i="6"/>
  <c r="H9" i="6"/>
  <c r="H6" i="6"/>
  <c r="H3" i="6"/>
  <c r="G15" i="6"/>
  <c r="G17" i="6" s="1"/>
  <c r="G12" i="6"/>
  <c r="G9" i="6"/>
  <c r="G6" i="6"/>
  <c r="G3" i="6"/>
  <c r="E17" i="6"/>
  <c r="F15" i="6"/>
  <c r="F12" i="6"/>
  <c r="D12" i="6" s="1"/>
  <c r="F6" i="6"/>
  <c r="D6" i="6" s="1"/>
  <c r="F3" i="6"/>
  <c r="F17" i="6" l="1"/>
  <c r="D3" i="6"/>
  <c r="D17" i="6" s="1"/>
  <c r="H19" i="6" s="1"/>
  <c r="H22" i="5"/>
  <c r="L22" i="5" s="1"/>
  <c r="E22" i="5"/>
  <c r="E21" i="5"/>
  <c r="H21" i="5" s="1"/>
  <c r="L21" i="5" s="1"/>
  <c r="L20" i="5"/>
  <c r="H20" i="5"/>
  <c r="H19" i="5"/>
  <c r="L19" i="5" s="1"/>
  <c r="H18" i="5"/>
  <c r="L18" i="5" s="1"/>
  <c r="L15" i="5"/>
  <c r="H15" i="5"/>
  <c r="H14" i="5"/>
  <c r="L14" i="5" s="1"/>
  <c r="L13" i="5"/>
  <c r="H13" i="5"/>
  <c r="H12" i="5"/>
  <c r="L12" i="5" s="1"/>
  <c r="L9" i="5"/>
  <c r="H9" i="5"/>
  <c r="H8" i="5"/>
  <c r="L8" i="5" s="1"/>
  <c r="H7" i="5"/>
  <c r="L7" i="5" s="1"/>
  <c r="L6" i="5"/>
  <c r="H6" i="5"/>
  <c r="L5" i="5"/>
  <c r="H5" i="5"/>
  <c r="H4" i="5"/>
  <c r="L4" i="5" s="1"/>
  <c r="V19" i="4"/>
  <c r="N19" i="4"/>
  <c r="E19" i="4"/>
  <c r="Z18" i="4"/>
  <c r="Y18" i="4"/>
  <c r="M18" i="4"/>
  <c r="G18" i="4"/>
  <c r="D18" i="4"/>
  <c r="U17" i="4"/>
  <c r="J17" i="4"/>
  <c r="U16" i="4"/>
  <c r="J16" i="4"/>
  <c r="M15" i="4"/>
  <c r="J15" i="4"/>
  <c r="D14" i="4"/>
  <c r="U13" i="4"/>
  <c r="J13" i="4"/>
  <c r="T12" i="4"/>
  <c r="T18" i="4" s="1"/>
  <c r="J12" i="4"/>
  <c r="J11" i="4"/>
  <c r="U10" i="4"/>
  <c r="U18" i="4" s="1"/>
  <c r="R10" i="4"/>
  <c r="R18" i="4" s="1"/>
  <c r="M10" i="4"/>
  <c r="J10" i="4"/>
  <c r="M9" i="4"/>
  <c r="L6" i="4"/>
  <c r="J6" i="4"/>
  <c r="L4" i="4"/>
  <c r="L18" i="4" s="1"/>
  <c r="C3" i="4"/>
  <c r="C18" i="4" s="1"/>
  <c r="M203" i="1"/>
  <c r="O193" i="1"/>
  <c r="N193" i="1"/>
  <c r="M193" i="1"/>
  <c r="P193" i="1" s="1"/>
  <c r="I193" i="1"/>
  <c r="N192" i="1"/>
  <c r="M192" i="1"/>
  <c r="P192" i="1" s="1"/>
  <c r="I192" i="1"/>
  <c r="O192" i="1" s="1"/>
  <c r="N191" i="1"/>
  <c r="M191" i="1"/>
  <c r="G191" i="1"/>
  <c r="I191" i="1" s="1"/>
  <c r="O191" i="1" s="1"/>
  <c r="P191" i="1" s="1"/>
  <c r="O190" i="1"/>
  <c r="W17" i="4" s="1"/>
  <c r="N190" i="1"/>
  <c r="M190" i="1"/>
  <c r="P190" i="1" s="1"/>
  <c r="I190" i="1"/>
  <c r="F190" i="1"/>
  <c r="O189" i="1"/>
  <c r="N189" i="1"/>
  <c r="N194" i="1" s="1"/>
  <c r="M189" i="1"/>
  <c r="M194" i="1" s="1"/>
  <c r="I189" i="1"/>
  <c r="I194" i="1" s="1"/>
  <c r="O187" i="1"/>
  <c r="N187" i="1"/>
  <c r="M187" i="1"/>
  <c r="P187" i="1" s="1"/>
  <c r="I187" i="1"/>
  <c r="N186" i="1"/>
  <c r="M186" i="1"/>
  <c r="I186" i="1"/>
  <c r="O186" i="1" s="1"/>
  <c r="G186" i="1"/>
  <c r="N185" i="1"/>
  <c r="M185" i="1"/>
  <c r="I185" i="1"/>
  <c r="O185" i="1" s="1"/>
  <c r="P185" i="1" s="1"/>
  <c r="O184" i="1"/>
  <c r="W16" i="4" s="1"/>
  <c r="N184" i="1"/>
  <c r="M184" i="1"/>
  <c r="P184" i="1" s="1"/>
  <c r="I184" i="1"/>
  <c r="G184" i="1"/>
  <c r="N183" i="1"/>
  <c r="M183" i="1"/>
  <c r="G183" i="1"/>
  <c r="I183" i="1" s="1"/>
  <c r="N182" i="1"/>
  <c r="M182" i="1"/>
  <c r="I182" i="1"/>
  <c r="O182" i="1" s="1"/>
  <c r="O181" i="1"/>
  <c r="N181" i="1"/>
  <c r="N188" i="1" s="1"/>
  <c r="M181" i="1"/>
  <c r="M188" i="1" s="1"/>
  <c r="I181" i="1"/>
  <c r="O179" i="1"/>
  <c r="M179" i="1"/>
  <c r="I179" i="1"/>
  <c r="N179" i="1" s="1"/>
  <c r="P179" i="1" s="1"/>
  <c r="O178" i="1"/>
  <c r="N178" i="1"/>
  <c r="M178" i="1"/>
  <c r="P178" i="1" s="1"/>
  <c r="I178" i="1"/>
  <c r="O177" i="1"/>
  <c r="M177" i="1"/>
  <c r="P177" i="1" s="1"/>
  <c r="I177" i="1"/>
  <c r="N177" i="1" s="1"/>
  <c r="O176" i="1"/>
  <c r="P176" i="1" s="1"/>
  <c r="N176" i="1"/>
  <c r="M176" i="1"/>
  <c r="I176" i="1"/>
  <c r="O175" i="1"/>
  <c r="M175" i="1"/>
  <c r="I175" i="1"/>
  <c r="N175" i="1" s="1"/>
  <c r="P175" i="1" s="1"/>
  <c r="O174" i="1"/>
  <c r="M174" i="1"/>
  <c r="I174" i="1"/>
  <c r="N174" i="1" s="1"/>
  <c r="O173" i="1"/>
  <c r="N173" i="1"/>
  <c r="P173" i="1" s="1"/>
  <c r="M173" i="1"/>
  <c r="I173" i="1"/>
  <c r="O172" i="1"/>
  <c r="M172" i="1"/>
  <c r="P172" i="1" s="1"/>
  <c r="I172" i="1"/>
  <c r="N172" i="1" s="1"/>
  <c r="O171" i="1"/>
  <c r="M171" i="1"/>
  <c r="I171" i="1"/>
  <c r="N171" i="1" s="1"/>
  <c r="P171" i="1" s="1"/>
  <c r="O170" i="1"/>
  <c r="N170" i="1"/>
  <c r="M170" i="1"/>
  <c r="P170" i="1" s="1"/>
  <c r="I170" i="1"/>
  <c r="O169" i="1"/>
  <c r="M169" i="1"/>
  <c r="P169" i="1" s="1"/>
  <c r="I169" i="1"/>
  <c r="N169" i="1" s="1"/>
  <c r="O168" i="1"/>
  <c r="O180" i="1" s="1"/>
  <c r="S15" i="4" s="1"/>
  <c r="N168" i="1"/>
  <c r="M168" i="1"/>
  <c r="I168" i="1"/>
  <c r="O167" i="1"/>
  <c r="M167" i="1"/>
  <c r="I167" i="1"/>
  <c r="N167" i="1" s="1"/>
  <c r="O166" i="1"/>
  <c r="M166" i="1"/>
  <c r="P166" i="1" s="1"/>
  <c r="I166" i="1"/>
  <c r="N166" i="1" s="1"/>
  <c r="O164" i="1"/>
  <c r="N164" i="1"/>
  <c r="M164" i="1"/>
  <c r="P164" i="1" s="1"/>
  <c r="I164" i="1"/>
  <c r="O163" i="1"/>
  <c r="N163" i="1"/>
  <c r="I163" i="1"/>
  <c r="M163" i="1" s="1"/>
  <c r="P163" i="1" s="1"/>
  <c r="G163" i="1"/>
  <c r="O162" i="1"/>
  <c r="N162" i="1"/>
  <c r="P162" i="1" s="1"/>
  <c r="M162" i="1"/>
  <c r="I162" i="1"/>
  <c r="O161" i="1"/>
  <c r="N161" i="1"/>
  <c r="M161" i="1"/>
  <c r="P161" i="1" s="1"/>
  <c r="I161" i="1"/>
  <c r="P160" i="1"/>
  <c r="O160" i="1"/>
  <c r="N160" i="1"/>
  <c r="I160" i="1"/>
  <c r="M160" i="1" s="1"/>
  <c r="O159" i="1"/>
  <c r="N159" i="1"/>
  <c r="M159" i="1"/>
  <c r="P159" i="1" s="1"/>
  <c r="I159" i="1"/>
  <c r="O158" i="1"/>
  <c r="N158" i="1"/>
  <c r="I158" i="1"/>
  <c r="M158" i="1" s="1"/>
  <c r="P158" i="1" s="1"/>
  <c r="O157" i="1"/>
  <c r="N157" i="1"/>
  <c r="F157" i="1"/>
  <c r="I157" i="1" s="1"/>
  <c r="M157" i="1" s="1"/>
  <c r="P157" i="1" s="1"/>
  <c r="O156" i="1"/>
  <c r="N156" i="1"/>
  <c r="M156" i="1"/>
  <c r="I156" i="1"/>
  <c r="O155" i="1"/>
  <c r="N155" i="1"/>
  <c r="I155" i="1"/>
  <c r="M155" i="1" s="1"/>
  <c r="P155" i="1" s="1"/>
  <c r="O154" i="1"/>
  <c r="N154" i="1"/>
  <c r="I154" i="1"/>
  <c r="M154" i="1" s="1"/>
  <c r="O153" i="1"/>
  <c r="N153" i="1"/>
  <c r="N165" i="1" s="1"/>
  <c r="I153" i="1"/>
  <c r="M153" i="1" s="1"/>
  <c r="O152" i="1"/>
  <c r="N152" i="1"/>
  <c r="F152" i="1"/>
  <c r="I152" i="1" s="1"/>
  <c r="M152" i="1" s="1"/>
  <c r="O151" i="1"/>
  <c r="N151" i="1"/>
  <c r="I151" i="1"/>
  <c r="I165" i="1" s="1"/>
  <c r="O147" i="1"/>
  <c r="N147" i="1"/>
  <c r="M147" i="1"/>
  <c r="I147" i="1"/>
  <c r="G147" i="1"/>
  <c r="N146" i="1"/>
  <c r="M146" i="1"/>
  <c r="I146" i="1"/>
  <c r="O146" i="1" s="1"/>
  <c r="G146" i="1"/>
  <c r="F145" i="1"/>
  <c r="I145" i="1" s="1"/>
  <c r="O145" i="1" s="1"/>
  <c r="P145" i="1" s="1"/>
  <c r="F144" i="1"/>
  <c r="I144" i="1" s="1"/>
  <c r="O144" i="1" s="1"/>
  <c r="N143" i="1"/>
  <c r="M143" i="1"/>
  <c r="F143" i="1"/>
  <c r="I143" i="1" s="1"/>
  <c r="O143" i="1" s="1"/>
  <c r="O142" i="1"/>
  <c r="P142" i="1" s="1"/>
  <c r="N142" i="1"/>
  <c r="M142" i="1"/>
  <c r="I142" i="1"/>
  <c r="N141" i="1"/>
  <c r="M141" i="1"/>
  <c r="I141" i="1"/>
  <c r="O141" i="1" s="1"/>
  <c r="N140" i="1"/>
  <c r="M140" i="1"/>
  <c r="G140" i="1"/>
  <c r="I140" i="1" s="1"/>
  <c r="N138" i="1"/>
  <c r="M138" i="1"/>
  <c r="I138" i="1"/>
  <c r="O138" i="1" s="1"/>
  <c r="G138" i="1"/>
  <c r="N137" i="1"/>
  <c r="M137" i="1"/>
  <c r="I137" i="1"/>
  <c r="O137" i="1" s="1"/>
  <c r="P136" i="1"/>
  <c r="O136" i="1"/>
  <c r="N136" i="1"/>
  <c r="M136" i="1"/>
  <c r="I136" i="1"/>
  <c r="N135" i="1"/>
  <c r="M135" i="1"/>
  <c r="I135" i="1"/>
  <c r="O135" i="1" s="1"/>
  <c r="N134" i="1"/>
  <c r="M134" i="1"/>
  <c r="P134" i="1" s="1"/>
  <c r="I134" i="1"/>
  <c r="O134" i="1" s="1"/>
  <c r="O133" i="1"/>
  <c r="N133" i="1"/>
  <c r="P133" i="1" s="1"/>
  <c r="M133" i="1"/>
  <c r="I133" i="1"/>
  <c r="N132" i="1"/>
  <c r="M132" i="1"/>
  <c r="P132" i="1" s="1"/>
  <c r="I132" i="1"/>
  <c r="O132" i="1" s="1"/>
  <c r="P131" i="1"/>
  <c r="N131" i="1"/>
  <c r="M131" i="1"/>
  <c r="I131" i="1"/>
  <c r="O131" i="1" s="1"/>
  <c r="O130" i="1"/>
  <c r="N130" i="1"/>
  <c r="M130" i="1"/>
  <c r="I130" i="1"/>
  <c r="N129" i="1"/>
  <c r="M129" i="1"/>
  <c r="I129" i="1"/>
  <c r="O129" i="1" s="1"/>
  <c r="O128" i="1"/>
  <c r="P128" i="1" s="1"/>
  <c r="N128" i="1"/>
  <c r="M128" i="1"/>
  <c r="I128" i="1"/>
  <c r="N127" i="1"/>
  <c r="M127" i="1"/>
  <c r="I127" i="1"/>
  <c r="O127" i="1" s="1"/>
  <c r="N126" i="1"/>
  <c r="M126" i="1"/>
  <c r="I126" i="1"/>
  <c r="O126" i="1" s="1"/>
  <c r="O125" i="1"/>
  <c r="N125" i="1"/>
  <c r="P125" i="1" s="1"/>
  <c r="M125" i="1"/>
  <c r="I125" i="1"/>
  <c r="N124" i="1"/>
  <c r="M124" i="1"/>
  <c r="I124" i="1"/>
  <c r="O124" i="1" s="1"/>
  <c r="N123" i="1"/>
  <c r="M123" i="1"/>
  <c r="I123" i="1"/>
  <c r="O123" i="1" s="1"/>
  <c r="P123" i="1" s="1"/>
  <c r="O122" i="1"/>
  <c r="N122" i="1"/>
  <c r="M122" i="1"/>
  <c r="I122" i="1"/>
  <c r="N121" i="1"/>
  <c r="M121" i="1"/>
  <c r="I121" i="1"/>
  <c r="N119" i="1"/>
  <c r="M119" i="1"/>
  <c r="I119" i="1"/>
  <c r="O119" i="1" s="1"/>
  <c r="G119" i="1"/>
  <c r="N118" i="1"/>
  <c r="M118" i="1"/>
  <c r="P118" i="1" s="1"/>
  <c r="I118" i="1"/>
  <c r="O118" i="1" s="1"/>
  <c r="P117" i="1"/>
  <c r="O117" i="1"/>
  <c r="N117" i="1"/>
  <c r="M117" i="1"/>
  <c r="I117" i="1"/>
  <c r="N116" i="1"/>
  <c r="M116" i="1"/>
  <c r="P116" i="1" s="1"/>
  <c r="I116" i="1"/>
  <c r="O116" i="1" s="1"/>
  <c r="N115" i="1"/>
  <c r="M115" i="1"/>
  <c r="F115" i="1"/>
  <c r="I115" i="1" s="1"/>
  <c r="O115" i="1" s="1"/>
  <c r="N114" i="1"/>
  <c r="M114" i="1"/>
  <c r="F114" i="1"/>
  <c r="F113" i="1" s="1"/>
  <c r="I113" i="1" s="1"/>
  <c r="O113" i="1"/>
  <c r="N113" i="1"/>
  <c r="M113" i="1"/>
  <c r="N112" i="1"/>
  <c r="M112" i="1"/>
  <c r="P112" i="1" s="1"/>
  <c r="I112" i="1"/>
  <c r="O112" i="1" s="1"/>
  <c r="P111" i="1"/>
  <c r="N111" i="1"/>
  <c r="M111" i="1"/>
  <c r="I111" i="1"/>
  <c r="O111" i="1" s="1"/>
  <c r="F111" i="1"/>
  <c r="P110" i="1"/>
  <c r="O110" i="1"/>
  <c r="N110" i="1"/>
  <c r="M110" i="1"/>
  <c r="I110" i="1"/>
  <c r="O109" i="1"/>
  <c r="M109" i="1"/>
  <c r="I109" i="1"/>
  <c r="N109" i="1" s="1"/>
  <c r="O108" i="1"/>
  <c r="M108" i="1"/>
  <c r="I108" i="1"/>
  <c r="N108" i="1" s="1"/>
  <c r="P108" i="1" s="1"/>
  <c r="O107" i="1"/>
  <c r="N107" i="1"/>
  <c r="O11" i="4" s="1"/>
  <c r="M107" i="1"/>
  <c r="I107" i="1"/>
  <c r="O106" i="1"/>
  <c r="M106" i="1"/>
  <c r="I106" i="1"/>
  <c r="N106" i="1" s="1"/>
  <c r="P105" i="1"/>
  <c r="O105" i="1"/>
  <c r="M105" i="1"/>
  <c r="I105" i="1"/>
  <c r="N105" i="1" s="1"/>
  <c r="O104" i="1"/>
  <c r="N104" i="1"/>
  <c r="M104" i="1"/>
  <c r="I104" i="1"/>
  <c r="O102" i="1"/>
  <c r="N102" i="1"/>
  <c r="P102" i="1" s="1"/>
  <c r="M102" i="1"/>
  <c r="G102" i="1"/>
  <c r="I102" i="1" s="1"/>
  <c r="N101" i="1"/>
  <c r="M101" i="1"/>
  <c r="I101" i="1"/>
  <c r="O101" i="1" s="1"/>
  <c r="N100" i="1"/>
  <c r="M100" i="1"/>
  <c r="I100" i="1"/>
  <c r="O100" i="1" s="1"/>
  <c r="O99" i="1"/>
  <c r="N99" i="1"/>
  <c r="P99" i="1" s="1"/>
  <c r="M99" i="1"/>
  <c r="I99" i="1"/>
  <c r="N98" i="1"/>
  <c r="M98" i="1"/>
  <c r="I98" i="1"/>
  <c r="O98" i="1" s="1"/>
  <c r="X10" i="4" s="1"/>
  <c r="F98" i="1"/>
  <c r="N97" i="1"/>
  <c r="M97" i="1"/>
  <c r="P97" i="1" s="1"/>
  <c r="F97" i="1"/>
  <c r="I97" i="1" s="1"/>
  <c r="O97" i="1" s="1"/>
  <c r="N96" i="1"/>
  <c r="M96" i="1"/>
  <c r="O95" i="1"/>
  <c r="N95" i="1"/>
  <c r="M95" i="1"/>
  <c r="I95" i="1"/>
  <c r="N94" i="1"/>
  <c r="M94" i="1"/>
  <c r="I94" i="1"/>
  <c r="O94" i="1" s="1"/>
  <c r="F94" i="1"/>
  <c r="N93" i="1"/>
  <c r="M93" i="1"/>
  <c r="I93" i="1"/>
  <c r="O93" i="1" s="1"/>
  <c r="P93" i="1" s="1"/>
  <c r="O92" i="1"/>
  <c r="N92" i="1"/>
  <c r="M92" i="1"/>
  <c r="P92" i="1" s="1"/>
  <c r="I92" i="1"/>
  <c r="O91" i="1"/>
  <c r="M91" i="1"/>
  <c r="I91" i="1"/>
  <c r="N91" i="1" s="1"/>
  <c r="P90" i="1"/>
  <c r="O90" i="1"/>
  <c r="M90" i="1"/>
  <c r="I90" i="1"/>
  <c r="N90" i="1" s="1"/>
  <c r="O10" i="4" s="1"/>
  <c r="O89" i="1"/>
  <c r="M89" i="1"/>
  <c r="I89" i="1"/>
  <c r="N89" i="1" s="1"/>
  <c r="O88" i="1"/>
  <c r="M88" i="1"/>
  <c r="I88" i="1"/>
  <c r="N88" i="1" s="1"/>
  <c r="O87" i="1"/>
  <c r="N87" i="1"/>
  <c r="M87" i="1"/>
  <c r="I87" i="1"/>
  <c r="O85" i="1"/>
  <c r="M85" i="1"/>
  <c r="I85" i="1"/>
  <c r="N85" i="1" s="1"/>
  <c r="P85" i="1" s="1"/>
  <c r="G85" i="1"/>
  <c r="O84" i="1"/>
  <c r="P84" i="1" s="1"/>
  <c r="N84" i="1"/>
  <c r="M84" i="1"/>
  <c r="I84" i="1"/>
  <c r="O83" i="1"/>
  <c r="M83" i="1"/>
  <c r="I83" i="1"/>
  <c r="N83" i="1" s="1"/>
  <c r="P82" i="1"/>
  <c r="O82" i="1"/>
  <c r="M82" i="1"/>
  <c r="I82" i="1"/>
  <c r="N82" i="1" s="1"/>
  <c r="O81" i="1"/>
  <c r="I81" i="1"/>
  <c r="N81" i="1" s="1"/>
  <c r="P81" i="1" s="1"/>
  <c r="F81" i="1"/>
  <c r="O80" i="1"/>
  <c r="N80" i="1"/>
  <c r="F80" i="1"/>
  <c r="I80" i="1" s="1"/>
  <c r="O79" i="1"/>
  <c r="M79" i="1"/>
  <c r="F79" i="1"/>
  <c r="I79" i="1" s="1"/>
  <c r="N79" i="1" s="1"/>
  <c r="O9" i="4" s="1"/>
  <c r="O78" i="1"/>
  <c r="N78" i="1"/>
  <c r="M78" i="1"/>
  <c r="P78" i="1" s="1"/>
  <c r="I78" i="1"/>
  <c r="O77" i="1"/>
  <c r="N77" i="1"/>
  <c r="F77" i="1"/>
  <c r="I77" i="1" s="1"/>
  <c r="M77" i="1" s="1"/>
  <c r="P77" i="1" s="1"/>
  <c r="P76" i="1"/>
  <c r="O76" i="1"/>
  <c r="N76" i="1"/>
  <c r="I76" i="1"/>
  <c r="M76" i="1" s="1"/>
  <c r="O75" i="1"/>
  <c r="N75" i="1"/>
  <c r="M75" i="1"/>
  <c r="I75" i="1"/>
  <c r="O74" i="1"/>
  <c r="N74" i="1"/>
  <c r="I74" i="1"/>
  <c r="M74" i="1" s="1"/>
  <c r="P74" i="1" s="1"/>
  <c r="O73" i="1"/>
  <c r="N73" i="1"/>
  <c r="I73" i="1"/>
  <c r="M73" i="1" s="1"/>
  <c r="F9" i="4" s="1"/>
  <c r="O72" i="1"/>
  <c r="N72" i="1"/>
  <c r="M72" i="1"/>
  <c r="M86" i="1" s="1"/>
  <c r="I72" i="1"/>
  <c r="I86" i="1" s="1"/>
  <c r="O71" i="1"/>
  <c r="N71" i="1"/>
  <c r="M71" i="1"/>
  <c r="P71" i="1" s="1"/>
  <c r="I71" i="1"/>
  <c r="O70" i="1"/>
  <c r="O86" i="1" s="1"/>
  <c r="N70" i="1"/>
  <c r="I70" i="1"/>
  <c r="M70" i="1" s="1"/>
  <c r="N66" i="1"/>
  <c r="M66" i="1"/>
  <c r="P66" i="1" s="1"/>
  <c r="I66" i="1"/>
  <c r="O66" i="1" s="1"/>
  <c r="O65" i="1"/>
  <c r="M65" i="1"/>
  <c r="P65" i="1" s="1"/>
  <c r="I65" i="1"/>
  <c r="N65" i="1" s="1"/>
  <c r="O64" i="1"/>
  <c r="P64" i="1" s="1"/>
  <c r="N64" i="1"/>
  <c r="M64" i="1"/>
  <c r="I64" i="1"/>
  <c r="O63" i="1"/>
  <c r="M63" i="1"/>
  <c r="P63" i="1" s="1"/>
  <c r="I63" i="1"/>
  <c r="N63" i="1" s="1"/>
  <c r="O62" i="1"/>
  <c r="M62" i="1"/>
  <c r="I62" i="1"/>
  <c r="N62" i="1" s="1"/>
  <c r="P62" i="1" s="1"/>
  <c r="O61" i="1"/>
  <c r="N61" i="1"/>
  <c r="M61" i="1"/>
  <c r="P61" i="1" s="1"/>
  <c r="I61" i="1"/>
  <c r="O60" i="1"/>
  <c r="N60" i="1"/>
  <c r="I60" i="1"/>
  <c r="M60" i="1" s="1"/>
  <c r="P59" i="1"/>
  <c r="O59" i="1"/>
  <c r="N59" i="1"/>
  <c r="I59" i="1"/>
  <c r="M59" i="1" s="1"/>
  <c r="O58" i="1"/>
  <c r="N58" i="1"/>
  <c r="I58" i="1"/>
  <c r="M58" i="1" s="1"/>
  <c r="P58" i="1" s="1"/>
  <c r="O57" i="1"/>
  <c r="N57" i="1"/>
  <c r="M57" i="1"/>
  <c r="P57" i="1" s="1"/>
  <c r="I57" i="1"/>
  <c r="O56" i="1"/>
  <c r="O67" i="1" s="1"/>
  <c r="N56" i="1"/>
  <c r="I56" i="1"/>
  <c r="M56" i="1" s="1"/>
  <c r="O54" i="1"/>
  <c r="M54" i="1"/>
  <c r="I54" i="1"/>
  <c r="N54" i="1" s="1"/>
  <c r="O7" i="4" s="1"/>
  <c r="O53" i="1"/>
  <c r="N53" i="1"/>
  <c r="M53" i="1"/>
  <c r="I53" i="1"/>
  <c r="O52" i="1"/>
  <c r="N52" i="1"/>
  <c r="I52" i="1"/>
  <c r="M52" i="1" s="1"/>
  <c r="P52" i="1" s="1"/>
  <c r="O51" i="1"/>
  <c r="P51" i="1" s="1"/>
  <c r="N51" i="1"/>
  <c r="I51" i="1"/>
  <c r="M51" i="1" s="1"/>
  <c r="O50" i="1"/>
  <c r="N50" i="1"/>
  <c r="M50" i="1"/>
  <c r="P50" i="1" s="1"/>
  <c r="I50" i="1"/>
  <c r="I55" i="1" s="1"/>
  <c r="O49" i="1"/>
  <c r="N49" i="1"/>
  <c r="M49" i="1"/>
  <c r="P49" i="1" s="1"/>
  <c r="I49" i="1"/>
  <c r="O48" i="1"/>
  <c r="O55" i="1" s="1"/>
  <c r="N48" i="1"/>
  <c r="N55" i="1" s="1"/>
  <c r="K7" i="4" s="1"/>
  <c r="N7" i="4" s="1"/>
  <c r="I48" i="1"/>
  <c r="M48" i="1" s="1"/>
  <c r="M55" i="1" s="1"/>
  <c r="O46" i="1"/>
  <c r="M46" i="1"/>
  <c r="I46" i="1"/>
  <c r="N46" i="1" s="1"/>
  <c r="P46" i="1" s="1"/>
  <c r="O45" i="1"/>
  <c r="N45" i="1"/>
  <c r="M45" i="1"/>
  <c r="I45" i="1"/>
  <c r="O44" i="1"/>
  <c r="M44" i="1"/>
  <c r="I44" i="1"/>
  <c r="N44" i="1" s="1"/>
  <c r="O43" i="1"/>
  <c r="O47" i="1" s="1"/>
  <c r="M43" i="1"/>
  <c r="I43" i="1"/>
  <c r="N43" i="1" s="1"/>
  <c r="O42" i="1"/>
  <c r="M42" i="1"/>
  <c r="I42" i="1"/>
  <c r="I47" i="1" s="1"/>
  <c r="O41" i="1"/>
  <c r="M41" i="1"/>
  <c r="P41" i="1" s="1"/>
  <c r="I41" i="1"/>
  <c r="N41" i="1" s="1"/>
  <c r="O39" i="1"/>
  <c r="M39" i="1"/>
  <c r="I39" i="1"/>
  <c r="N39" i="1" s="1"/>
  <c r="O38" i="1"/>
  <c r="M38" i="1"/>
  <c r="I38" i="1"/>
  <c r="N38" i="1" s="1"/>
  <c r="P38" i="1" s="1"/>
  <c r="O37" i="1"/>
  <c r="N37" i="1"/>
  <c r="M37" i="1"/>
  <c r="I37" i="1"/>
  <c r="O36" i="1"/>
  <c r="M36" i="1"/>
  <c r="I36" i="1"/>
  <c r="N36" i="1" s="1"/>
  <c r="O5" i="4" s="1"/>
  <c r="O35" i="1"/>
  <c r="M35" i="1"/>
  <c r="I35" i="1"/>
  <c r="N35" i="1" s="1"/>
  <c r="P35" i="1" s="1"/>
  <c r="O34" i="1"/>
  <c r="N34" i="1"/>
  <c r="I34" i="1"/>
  <c r="M34" i="1" s="1"/>
  <c r="P34" i="1" s="1"/>
  <c r="O33" i="1"/>
  <c r="N33" i="1"/>
  <c r="M33" i="1"/>
  <c r="P33" i="1" s="1"/>
  <c r="I33" i="1"/>
  <c r="O32" i="1"/>
  <c r="N32" i="1"/>
  <c r="I32" i="1"/>
  <c r="M32" i="1" s="1"/>
  <c r="P32" i="1" s="1"/>
  <c r="O31" i="1"/>
  <c r="N31" i="1"/>
  <c r="M31" i="1"/>
  <c r="I31" i="1"/>
  <c r="O30" i="1"/>
  <c r="N30" i="1"/>
  <c r="I30" i="1"/>
  <c r="M30" i="1" s="1"/>
  <c r="P30" i="1" s="1"/>
  <c r="O29" i="1"/>
  <c r="O40" i="1" s="1"/>
  <c r="N29" i="1"/>
  <c r="M29" i="1"/>
  <c r="I29" i="1"/>
  <c r="O27" i="1"/>
  <c r="M27" i="1"/>
  <c r="I27" i="1"/>
  <c r="N27" i="1" s="1"/>
  <c r="P27" i="1" s="1"/>
  <c r="O26" i="1"/>
  <c r="M26" i="1"/>
  <c r="I26" i="1"/>
  <c r="N26" i="1" s="1"/>
  <c r="P26" i="1" s="1"/>
  <c r="G26" i="1"/>
  <c r="O25" i="1"/>
  <c r="N25" i="1"/>
  <c r="M25" i="1"/>
  <c r="P25" i="1" s="1"/>
  <c r="I25" i="1"/>
  <c r="O24" i="1"/>
  <c r="M24" i="1"/>
  <c r="I24" i="1"/>
  <c r="N24" i="1" s="1"/>
  <c r="P24" i="1" s="1"/>
  <c r="O23" i="1"/>
  <c r="N23" i="1"/>
  <c r="O4" i="4" s="1"/>
  <c r="M23" i="1"/>
  <c r="I23" i="1"/>
  <c r="F23" i="1"/>
  <c r="O22" i="1"/>
  <c r="M22" i="1"/>
  <c r="I22" i="1"/>
  <c r="N22" i="1" s="1"/>
  <c r="P21" i="1"/>
  <c r="O21" i="1"/>
  <c r="N21" i="1"/>
  <c r="M21" i="1"/>
  <c r="I21" i="1"/>
  <c r="O20" i="1"/>
  <c r="N20" i="1"/>
  <c r="M20" i="1"/>
  <c r="P20" i="1" s="1"/>
  <c r="I20" i="1"/>
  <c r="O19" i="1"/>
  <c r="N19" i="1"/>
  <c r="M19" i="1"/>
  <c r="P19" i="1" s="1"/>
  <c r="I19" i="1"/>
  <c r="O18" i="1"/>
  <c r="N18" i="1"/>
  <c r="P18" i="1" s="1"/>
  <c r="I18" i="1"/>
  <c r="M18" i="1" s="1"/>
  <c r="O17" i="1"/>
  <c r="N17" i="1"/>
  <c r="I17" i="1"/>
  <c r="I28" i="1" s="1"/>
  <c r="P16" i="1"/>
  <c r="O16" i="1"/>
  <c r="N16" i="1"/>
  <c r="I16" i="1"/>
  <c r="M16" i="1" s="1"/>
  <c r="O15" i="1"/>
  <c r="N15" i="1"/>
  <c r="N28" i="1" s="1"/>
  <c r="K4" i="4" s="1"/>
  <c r="N4" i="4" s="1"/>
  <c r="M15" i="1"/>
  <c r="I15" i="1"/>
  <c r="P13" i="1"/>
  <c r="O13" i="1"/>
  <c r="N13" i="1"/>
  <c r="M13" i="1"/>
  <c r="I13" i="1"/>
  <c r="I12" i="1"/>
  <c r="O12" i="1" s="1"/>
  <c r="M11" i="1"/>
  <c r="G11" i="1"/>
  <c r="I11" i="1" s="1"/>
  <c r="O10" i="1"/>
  <c r="M10" i="1"/>
  <c r="I10" i="1"/>
  <c r="N10" i="1" s="1"/>
  <c r="P10" i="1" s="1"/>
  <c r="N9" i="1"/>
  <c r="O3" i="4" s="1"/>
  <c r="M9" i="1"/>
  <c r="F3" i="4" s="1"/>
  <c r="I9" i="1"/>
  <c r="O9" i="1" s="1"/>
  <c r="W3" i="4" s="1"/>
  <c r="G9" i="1"/>
  <c r="G8" i="1"/>
  <c r="I8" i="1" s="1"/>
  <c r="P7" i="1"/>
  <c r="O7" i="1"/>
  <c r="N7" i="1"/>
  <c r="I7" i="1"/>
  <c r="M7" i="1" s="1"/>
  <c r="O6" i="1"/>
  <c r="N6" i="1"/>
  <c r="M6" i="1"/>
  <c r="P6" i="1" s="1"/>
  <c r="I6" i="1"/>
  <c r="O5" i="1"/>
  <c r="N5" i="1"/>
  <c r="I5" i="1"/>
  <c r="M5" i="1" s="1"/>
  <c r="O4" i="1"/>
  <c r="I4" i="1"/>
  <c r="N4" i="1" s="1"/>
  <c r="O8" i="1" l="1"/>
  <c r="M8" i="1"/>
  <c r="N8" i="1"/>
  <c r="N14" i="1" s="1"/>
  <c r="K3" i="4" s="1"/>
  <c r="I14" i="1"/>
  <c r="S9" i="4"/>
  <c r="X13" i="4"/>
  <c r="P144" i="1"/>
  <c r="S8" i="4"/>
  <c r="B7" i="4"/>
  <c r="J7" i="4" s="1"/>
  <c r="P55" i="1"/>
  <c r="N40" i="1"/>
  <c r="K5" i="4" s="1"/>
  <c r="N5" i="4" s="1"/>
  <c r="B9" i="4"/>
  <c r="P89" i="1"/>
  <c r="P88" i="1"/>
  <c r="M103" i="1"/>
  <c r="N86" i="1"/>
  <c r="P9" i="1"/>
  <c r="M12" i="1"/>
  <c r="P37" i="1"/>
  <c r="P39" i="1"/>
  <c r="P43" i="1"/>
  <c r="N67" i="1"/>
  <c r="P60" i="1"/>
  <c r="P94" i="1"/>
  <c r="P98" i="1"/>
  <c r="P100" i="1"/>
  <c r="P127" i="1"/>
  <c r="P129" i="1"/>
  <c r="N148" i="1"/>
  <c r="P152" i="1"/>
  <c r="F14" i="4"/>
  <c r="L23" i="5"/>
  <c r="N12" i="1"/>
  <c r="I139" i="1"/>
  <c r="O121" i="1"/>
  <c r="O139" i="1" s="1"/>
  <c r="O15" i="4"/>
  <c r="O18" i="4" s="1"/>
  <c r="P186" i="1"/>
  <c r="L10" i="5"/>
  <c r="N42" i="1"/>
  <c r="P42" i="1" s="1"/>
  <c r="M139" i="1"/>
  <c r="P138" i="1"/>
  <c r="P141" i="1"/>
  <c r="P143" i="1"/>
  <c r="W13" i="4" s="1"/>
  <c r="P146" i="1"/>
  <c r="P167" i="1"/>
  <c r="P174" i="1"/>
  <c r="P182" i="1"/>
  <c r="O194" i="1"/>
  <c r="S17" i="4" s="1"/>
  <c r="L16" i="5"/>
  <c r="M67" i="1"/>
  <c r="P23" i="1"/>
  <c r="P56" i="1"/>
  <c r="P72" i="1"/>
  <c r="P83" i="1"/>
  <c r="P15" i="1"/>
  <c r="M17" i="1"/>
  <c r="P48" i="1"/>
  <c r="P54" i="1"/>
  <c r="P75" i="1"/>
  <c r="N103" i="1"/>
  <c r="K10" i="4" s="1"/>
  <c r="N10" i="4" s="1"/>
  <c r="P91" i="1"/>
  <c r="P95" i="1"/>
  <c r="P101" i="1"/>
  <c r="M120" i="1"/>
  <c r="P104" i="1"/>
  <c r="P106" i="1"/>
  <c r="N139" i="1"/>
  <c r="P130" i="1"/>
  <c r="P153" i="1"/>
  <c r="I188" i="1"/>
  <c r="O183" i="1"/>
  <c r="P183" i="1" s="1"/>
  <c r="F5" i="4"/>
  <c r="P31" i="1"/>
  <c r="P80" i="1"/>
  <c r="P9" i="4"/>
  <c r="P18" i="4" s="1"/>
  <c r="W12" i="4"/>
  <c r="P22" i="1"/>
  <c r="P44" i="1"/>
  <c r="O11" i="1"/>
  <c r="O14" i="1" s="1"/>
  <c r="S3" i="4" s="1"/>
  <c r="N11" i="1"/>
  <c r="O28" i="1"/>
  <c r="N47" i="1"/>
  <c r="K6" i="4" s="1"/>
  <c r="N6" i="4" s="1"/>
  <c r="P53" i="1"/>
  <c r="P79" i="1"/>
  <c r="P87" i="1"/>
  <c r="P113" i="1"/>
  <c r="P119" i="1"/>
  <c r="P122" i="1"/>
  <c r="P124" i="1"/>
  <c r="P126" i="1"/>
  <c r="P156" i="1"/>
  <c r="M40" i="1"/>
  <c r="P29" i="1"/>
  <c r="W10" i="4"/>
  <c r="W18" i="4" s="1"/>
  <c r="P140" i="1"/>
  <c r="P70" i="1"/>
  <c r="P36" i="1"/>
  <c r="N120" i="1"/>
  <c r="K11" i="4" s="1"/>
  <c r="N11" i="4" s="1"/>
  <c r="P5" i="1"/>
  <c r="P11" i="1"/>
  <c r="I40" i="1"/>
  <c r="P45" i="1"/>
  <c r="M47" i="1"/>
  <c r="P47" i="1" s="1"/>
  <c r="P73" i="1"/>
  <c r="F96" i="1"/>
  <c r="I96" i="1" s="1"/>
  <c r="O96" i="1" s="1"/>
  <c r="P96" i="1" s="1"/>
  <c r="P107" i="1"/>
  <c r="P109" i="1"/>
  <c r="W11" i="4"/>
  <c r="P115" i="1"/>
  <c r="P135" i="1"/>
  <c r="P137" i="1"/>
  <c r="O140" i="1"/>
  <c r="O148" i="1" s="1"/>
  <c r="I148" i="1"/>
  <c r="P147" i="1"/>
  <c r="O165" i="1"/>
  <c r="P154" i="1"/>
  <c r="N180" i="1"/>
  <c r="K15" i="4" s="1"/>
  <c r="N15" i="4" s="1"/>
  <c r="P168" i="1"/>
  <c r="I180" i="1"/>
  <c r="M180" i="1"/>
  <c r="P181" i="1"/>
  <c r="I67" i="1"/>
  <c r="I114" i="1"/>
  <c r="O114" i="1" s="1"/>
  <c r="M148" i="1"/>
  <c r="P189" i="1"/>
  <c r="M151" i="1"/>
  <c r="M4" i="1"/>
  <c r="V3" i="4" l="1"/>
  <c r="N3" i="4"/>
  <c r="N18" i="4" s="1"/>
  <c r="O68" i="1"/>
  <c r="O188" i="1"/>
  <c r="N195" i="1"/>
  <c r="N196" i="1" s="1"/>
  <c r="P120" i="1"/>
  <c r="S13" i="4"/>
  <c r="P8" i="1"/>
  <c r="X11" i="4"/>
  <c r="X18" i="4" s="1"/>
  <c r="P114" i="1"/>
  <c r="K9" i="4"/>
  <c r="N9" i="4" s="1"/>
  <c r="N149" i="1"/>
  <c r="I103" i="1"/>
  <c r="O195" i="1"/>
  <c r="B5" i="4"/>
  <c r="P40" i="1"/>
  <c r="F4" i="4"/>
  <c r="F18" i="4" s="1"/>
  <c r="P17" i="1"/>
  <c r="P121" i="1"/>
  <c r="M28" i="1"/>
  <c r="I120" i="1"/>
  <c r="L24" i="5"/>
  <c r="P12" i="1"/>
  <c r="O120" i="1"/>
  <c r="S11" i="4" s="1"/>
  <c r="V11" i="4" s="1"/>
  <c r="K8" i="4"/>
  <c r="K18" i="4" s="1"/>
  <c r="L22" i="4" s="1"/>
  <c r="N68" i="1"/>
  <c r="M14" i="1"/>
  <c r="P4" i="1"/>
  <c r="B8" i="4"/>
  <c r="J8" i="4" s="1"/>
  <c r="P67" i="1"/>
  <c r="S12" i="4"/>
  <c r="M165" i="1"/>
  <c r="P151" i="1"/>
  <c r="P180" i="1"/>
  <c r="O103" i="1"/>
  <c r="P139" i="1"/>
  <c r="M149" i="1"/>
  <c r="P148" i="1"/>
  <c r="P194" i="1"/>
  <c r="P86" i="1"/>
  <c r="S10" i="4" l="1"/>
  <c r="O149" i="1"/>
  <c r="O196" i="1"/>
  <c r="P14" i="1"/>
  <c r="B3" i="4"/>
  <c r="P28" i="1"/>
  <c r="B4" i="4"/>
  <c r="N200" i="1"/>
  <c r="N198" i="1"/>
  <c r="S16" i="4"/>
  <c r="P188" i="1"/>
  <c r="B14" i="4"/>
  <c r="J14" i="4" s="1"/>
  <c r="P165" i="1"/>
  <c r="M195" i="1"/>
  <c r="P149" i="1"/>
  <c r="M68" i="1"/>
  <c r="P68" i="1" s="1"/>
  <c r="E5" i="4"/>
  <c r="J5" i="4" s="1"/>
  <c r="P103" i="1"/>
  <c r="E4" i="4" l="1"/>
  <c r="J4" i="4" s="1"/>
  <c r="M196" i="1"/>
  <c r="P195" i="1"/>
  <c r="P196" i="1" s="1"/>
  <c r="E3" i="4"/>
  <c r="B18" i="4"/>
  <c r="O200" i="1"/>
  <c r="O198" i="1"/>
  <c r="V10" i="4"/>
  <c r="V18" i="4" s="1"/>
  <c r="S18" i="4"/>
  <c r="T22" i="4" s="1"/>
  <c r="E18" i="4" l="1"/>
  <c r="J18" i="4" s="1"/>
  <c r="E9" i="4"/>
  <c r="J9" i="4" s="1"/>
  <c r="J3" i="4"/>
  <c r="M198" i="1"/>
  <c r="M200" i="1" s="1"/>
  <c r="C22" i="4" l="1"/>
</calcChain>
</file>

<file path=xl/sharedStrings.xml><?xml version="1.0" encoding="utf-8"?>
<sst xmlns="http://schemas.openxmlformats.org/spreadsheetml/2006/main" count="1393" uniqueCount="444">
  <si>
    <t>Activities</t>
  </si>
  <si>
    <t>Deliverables</t>
  </si>
  <si>
    <t>Sub-activities</t>
  </si>
  <si>
    <t>Modality</t>
  </si>
  <si>
    <t>Consultants</t>
  </si>
  <si>
    <t>Participants</t>
  </si>
  <si>
    <t>Frequency</t>
  </si>
  <si>
    <t>Unit cost (DSA, fees, venue, refreshments, logistics etc)</t>
  </si>
  <si>
    <t>Total</t>
  </si>
  <si>
    <t>ImplementationPeriod</t>
  </si>
  <si>
    <t>Budget Breakdown</t>
  </si>
  <si>
    <t>Amount (USD)</t>
  </si>
  <si>
    <t>Moved Total/Subtotal</t>
  </si>
  <si>
    <t>Year1</t>
  </si>
  <si>
    <t>Year2</t>
  </si>
  <si>
    <t>Year3</t>
  </si>
  <si>
    <t>Year 1</t>
  </si>
  <si>
    <t>Year 2</t>
  </si>
  <si>
    <t>Year 3</t>
  </si>
  <si>
    <t>Project Output 1: The digital health ecosystem is strengthened</t>
  </si>
  <si>
    <t xml:space="preserve">1.1 Build the capacity of the Information, Communication, and Technology (ICT) Department of the Ministry of Health (MOH). </t>
  </si>
  <si>
    <t>1. On the job training package
2. Annual training reports</t>
  </si>
  <si>
    <t xml:space="preserve">1. Conduct a needs assessment to identify the specific skills and knowledge gaps  </t>
  </si>
  <si>
    <t>Technical Assistance</t>
  </si>
  <si>
    <t>Matiko + Consultants</t>
  </si>
  <si>
    <t>X</t>
  </si>
  <si>
    <t xml:space="preserve">2. Define the training objectives based on the identified needs </t>
  </si>
  <si>
    <t>Matiko + Maryam</t>
  </si>
  <si>
    <t>3. Develop a comprehensive training plan for the ICT department</t>
  </si>
  <si>
    <t>4. Develop training materials</t>
  </si>
  <si>
    <t xml:space="preserve">5. Conduct practical for one week long on-the-Job training </t>
  </si>
  <si>
    <t>Workshops</t>
  </si>
  <si>
    <t>MoH</t>
  </si>
  <si>
    <t>6. Establish pre and post training evaluation mechanism to collect input from participants during and after the training  to determine if the learning objectives have been met</t>
  </si>
  <si>
    <t xml:space="preserve">7. Provide remote technical backstopping and mentoring to staff as they apply their new skills in their daily tasks </t>
  </si>
  <si>
    <t>Matiko + consultants</t>
  </si>
  <si>
    <t>8. Conduct semi-annual evaluations to assess the effectiveness of the training program vis a vis the objectives</t>
  </si>
  <si>
    <t>9. Documentation best practices, lessons learned and challenges emerged during the training</t>
  </si>
  <si>
    <t>SubTotal</t>
  </si>
  <si>
    <t xml:space="preserve">1.2 Update the functionality and disease classification in DHIS-2, ZanEMR, and Jamii ni Afya. </t>
  </si>
  <si>
    <t xml:space="preserve">MOH-approved user acceptance test report for the improved DHIS-2, ZanEMR, and Jamii ni Afya </t>
  </si>
  <si>
    <t>1. Conduct a system review to understand the current state of DHIS-2, ZanEMR, and Jamii ni Afya</t>
  </si>
  <si>
    <t xml:space="preserve"> 2. Engage with key stakeholders, including users, developers, and decision-makers, to gather input on required improvements and interoperability features. </t>
  </si>
  <si>
    <t>HCW, CHMT, MOH</t>
  </si>
  <si>
    <t xml:space="preserve">3. Establish data standards and protocols for interoperability, including a common data model and communication standards and adopt international standards such as HL7 (Health Level Seven) for health information exchange) </t>
  </si>
  <si>
    <t>4. Conduct data mapping and harmonization among these systems</t>
  </si>
  <si>
    <t xml:space="preserve">5. Customize each system to align with the defined standards and interoperability requirements </t>
  </si>
  <si>
    <t xml:space="preserve">6. Create Application Programming Interfaces (APIs) </t>
  </si>
  <si>
    <t xml:space="preserve">7. Test and train end-users, administrators, and IT staff on the updated systems and new interoperability features </t>
  </si>
  <si>
    <t>8. Deploy the updated systems  to live environment at ZICTA data centre</t>
  </si>
  <si>
    <t xml:space="preserve">9. Collect feedback from users and stakeholders to identify areas for further improvement </t>
  </si>
  <si>
    <t>10. Do a continuous improvement based on feedback  for 2 years</t>
  </si>
  <si>
    <t>11. Document the entire process, including system configurations, data mappings, and interoperability protocols</t>
  </si>
  <si>
    <t xml:space="preserve">1.3 Create the digital integration pathways for key systems. </t>
  </si>
  <si>
    <t xml:space="preserve">1. Identify the key data elements that need to be synchronized between Jamii ni Afya, ZanEMR and DHIS2 </t>
  </si>
  <si>
    <t>Matiko + Maryam+consultants</t>
  </si>
  <si>
    <t>2. Map the data fields from Jamii ni Afya  and ZanEMR to the corresponding data elements in DHIS2</t>
  </si>
  <si>
    <t xml:space="preserve">3. Define data formats in Jamii ni Afya and ZanEMR, standardized  them and make compatible with DHIS2 requirements </t>
  </si>
  <si>
    <t xml:space="preserve">Matiko </t>
  </si>
  <si>
    <t>4. Explore APIs provided by the respective systems as well as for the ZHIL  and create additional API's to allow smooth data exchanges</t>
  </si>
  <si>
    <t xml:space="preserve">5. Implement data validation rules, security standards checks and cleaning in ZanEMR and DHIS2  </t>
  </si>
  <si>
    <t>6. Conduct Testing and Train of ToT on the updated systems</t>
  </si>
  <si>
    <t> </t>
  </si>
  <si>
    <t xml:space="preserve">7. Define the frequency and timing of data aggregation between ZanEMR and DHIS-2 to ensure timely reporting </t>
  </si>
  <si>
    <t xml:space="preserve">8. Set up regular maintenance activities to address any issues that may arise and to keep the integration up-to-date with system changes </t>
  </si>
  <si>
    <t>9. Documentation for all the processes</t>
  </si>
  <si>
    <t>Maryam +Matiko</t>
  </si>
  <si>
    <t xml:space="preserve">1.4 Create a user-friendly Executive Data Visualization Dashboard. </t>
  </si>
  <si>
    <t xml:space="preserve">Sample of the dashboard showcasing the analysis of five selected indicators </t>
  </si>
  <si>
    <t>1. Conduct a needs assessment to identify the needs from senior managers</t>
  </si>
  <si>
    <t>Matiko + Maryam + Consultants</t>
  </si>
  <si>
    <t>2. Conduct the data mapping (use cases)</t>
  </si>
  <si>
    <t>Matiko + consultant</t>
  </si>
  <si>
    <t>3. Create APIs</t>
  </si>
  <si>
    <t>4. Actual Integration</t>
  </si>
  <si>
    <t>5. Test</t>
  </si>
  <si>
    <t>6. Create the Dashboard</t>
  </si>
  <si>
    <t>1.5 Develop a standardized essential ICT equipment list.</t>
  </si>
  <si>
    <t xml:space="preserve">Draft ICT equipment list and maintenance plans </t>
  </si>
  <si>
    <t xml:space="preserve">1. Consult relevant stakeholders to establish a standardized list of essential ICT equipment that suits the diverse needs of different health facilities  </t>
  </si>
  <si>
    <t>2. Define maintenance requirements for each type of equipment</t>
  </si>
  <si>
    <t>Consultant</t>
  </si>
  <si>
    <t xml:space="preserve">3. Create detailed maintenance procedures for each type of equipment </t>
  </si>
  <si>
    <t>4. Define clear criteria for determining when ICT equipment should be replaced</t>
  </si>
  <si>
    <t xml:space="preserve">5. Develop plans for replacing ICT equipment at the end of its lifecycle </t>
  </si>
  <si>
    <t>6.Provide training to healthcare staff on the proper use and maintenance of ICT equipment</t>
  </si>
  <si>
    <t>ICTO - ToT</t>
  </si>
  <si>
    <t xml:space="preserve">1.6 Conduct a baseline assessment of health facility connectivity. </t>
  </si>
  <si>
    <t>1. Baseline connecticity assessment report
2. DHIS-2 report showing the introduction of the new indicator</t>
  </si>
  <si>
    <t xml:space="preserve">1. Develop Assessment Criteria </t>
  </si>
  <si>
    <t>Matiko +Maryam</t>
  </si>
  <si>
    <t xml:space="preserve">2. Create appropriate tools for conducting the assessment </t>
  </si>
  <si>
    <t>Matiko +Maryam+Consultant</t>
  </si>
  <si>
    <t xml:space="preserve">3. Develop plan and schedule visits to health facilities for on-site assessments </t>
  </si>
  <si>
    <t xml:space="preserve">4. Collect data on various aspects of connectivity, such as internet speed, network reliability, availability of backup systems, and the presence of essential communication tools </t>
  </si>
  <si>
    <t xml:space="preserve">5.  Document the existing network infrastructure in each health facility </t>
  </si>
  <si>
    <t>6. Develop a connectivity indicator that can be used for regular reporting in DHIS-2</t>
  </si>
  <si>
    <t xml:space="preserve">7. Evaluate the availability and quality of telecommunication services (e.g., phone lines, mobile networks) that support communication within and outside the health facility. </t>
  </si>
  <si>
    <t xml:space="preserve">8. Analyze the collected data to identify patterns, trends, and areas of improvement. </t>
  </si>
  <si>
    <t>9. Create  a dashboard to monitor the indicator for regular reporting on connectivity status using the established connectivity indicator.</t>
  </si>
  <si>
    <t>Matiko</t>
  </si>
  <si>
    <t>10. Compile the findings into a comprehensive report which includes options to improve facilities' connectivity by entering long term contractual agreement with connectivity providers.</t>
  </si>
  <si>
    <t>11. Advocacy to implement recommendations to effectively improve facilities' connecitivity</t>
  </si>
  <si>
    <t>Maryam</t>
  </si>
  <si>
    <t xml:space="preserve">Sub-total </t>
  </si>
  <si>
    <t>Project Output 2: The use of digital solutions for quality improvement is enhanced</t>
  </si>
  <si>
    <t>2.1 Design, develop, and roll out a digital supportive supervision solution.</t>
  </si>
  <si>
    <t>1. Demo supportive supervision solution
2. User acceptance test report</t>
  </si>
  <si>
    <t>1. Consult users to to ensure  the solution aligns with their needs and expectations, define busines processes and produce the System Requiremement Specification (SRS) document</t>
  </si>
  <si>
    <t>Matiko+Maryam</t>
  </si>
  <si>
    <t xml:space="preserve">2. Conduct SRS validation with few technical colleagues and senior officials </t>
  </si>
  <si>
    <t>3. Conduct design sessions for detailed design of the user interface (UI) and user experience (UX) based on the SRS</t>
  </si>
  <si>
    <t xml:space="preserve">4. Coding of the system </t>
  </si>
  <si>
    <t xml:space="preserve">5. Conduct user Acceptance test (UAT) to identity errors, bugs and improve accordingly </t>
  </si>
  <si>
    <t xml:space="preserve">6. Conduct training of trainers and capacity building end users </t>
  </si>
  <si>
    <t>DSA</t>
  </si>
  <si>
    <t>Pemba</t>
  </si>
  <si>
    <t>Unguja</t>
  </si>
  <si>
    <t>7. Rollout and Deployment (Deploy the solution to live environment)</t>
  </si>
  <si>
    <t xml:space="preserve">8. Establish mechanisms for ongoing monitoring and evaluation of the digital solution (Collect feedback from users and stakeholders to make continuous improvements) </t>
  </si>
  <si>
    <t xml:space="preserve">9. Evaluate the performance and impact of the solution over time </t>
  </si>
  <si>
    <t>10. Maintain and administer the platfom</t>
  </si>
  <si>
    <t xml:space="preserve">2.2 Design, develop, and roll out an e-learning platform for CHWs. </t>
  </si>
  <si>
    <t>1. The demo digital e-learning platform will be shared 
2. The user acceptance test report</t>
  </si>
  <si>
    <t>1. Consult stakeholders to to ensure that the solution aligns with their needs and expectations and produce System Requiremement Specification (SRS) document</t>
  </si>
  <si>
    <t>Matiko+Maryam + consultant</t>
  </si>
  <si>
    <t xml:space="preserve">2. Conduct SRS validation with senior officials </t>
  </si>
  <si>
    <t xml:space="preserve">Matiko+Maryam </t>
  </si>
  <si>
    <t>MoH and SUZA</t>
  </si>
  <si>
    <t xml:space="preserve">3. Conduct design sessions for detailed design of the user interface (UI) and user experience (UX) based on the SRS </t>
  </si>
  <si>
    <t xml:space="preserve">6. Conduct training and capacity building end users </t>
  </si>
  <si>
    <t xml:space="preserve">10. Support and Maintanance for the platform </t>
  </si>
  <si>
    <t>Matiko +consultants</t>
  </si>
  <si>
    <t xml:space="preserve">2.3 Design, develop, and roll a peer exchange collaborative tool. </t>
  </si>
  <si>
    <t xml:space="preserve">1. The demo peer exchange platform
2. the user acceptance test report </t>
  </si>
  <si>
    <t xml:space="preserve">2.4 Integrate the new digital solutions with DHIS-2. </t>
  </si>
  <si>
    <t xml:space="preserve">The API document and integration report </t>
  </si>
  <si>
    <t>1. Conduct needs and requirement gathering for the kind of data needed to be exchanged with e-learning, digital supportive supervision, other HIS and DHIS2</t>
  </si>
  <si>
    <t>Matiko+ Maryam</t>
  </si>
  <si>
    <t xml:space="preserve">2. Clearly define the interoperability requirements, including data exchange formats, communication protocols, and system interfaces </t>
  </si>
  <si>
    <t>Matiko +consultant</t>
  </si>
  <si>
    <t>3. Establish Standards (adopt and adhere to industry or international standards for data formats, communication protocols, and system interfaces)</t>
  </si>
  <si>
    <t xml:space="preserve">4. Develop a comprehensive data dictionary that defines the data elements, their meanings, and the relationships between them </t>
  </si>
  <si>
    <t xml:space="preserve">5. Develop mechanisms for data mapping and transformation to convert data formats between systems </t>
  </si>
  <si>
    <t>Matiko+Maryam+consultants</t>
  </si>
  <si>
    <t xml:space="preserve">6.  Design and implement well-documented APIs that allow different systems to communicate with each other </t>
  </si>
  <si>
    <t>Matiko+consultants</t>
  </si>
  <si>
    <t xml:space="preserve">7. Employ ZHIL to facilitate communication between different systems. </t>
  </si>
  <si>
    <t>8. Implement Message Queues techniques to allow a sequential and smooth data exchanges in integratiol layer</t>
  </si>
  <si>
    <t xml:space="preserve">9. Implement robust authentication and authorization mechanisms to secure data exchange between systems </t>
  </si>
  <si>
    <t xml:space="preserve">10. Conduct thorough testing with stakeholders to validate that the systems can effectively exchange data and collaborate as intended </t>
  </si>
  <si>
    <t>11. Train end users including administrators</t>
  </si>
  <si>
    <t>12. Deploy the solution  to live server at ZICTIA</t>
  </si>
  <si>
    <t xml:space="preserve">12. Documentation of the API's  </t>
  </si>
  <si>
    <t xml:space="preserve">13. Conduct support and maintanance </t>
  </si>
  <si>
    <t xml:space="preserve">2.5 Foster a culture of data use for quality improvement. </t>
  </si>
  <si>
    <t>The training material and report will be shared by the end of year three.</t>
  </si>
  <si>
    <t xml:space="preserve">1. Advocacy with  DPPR, ICT, M&amp;E, QA department to gain commitment from MoH leadership to prioritize and support a data-driven culture for quality improvement </t>
  </si>
  <si>
    <t xml:space="preserve">2. Develop/rejuvenate a robust data governance framework that includes policies, procedures, and roles for managing and using data </t>
  </si>
  <si>
    <t>Matiko+Maryam+consultants(2)</t>
  </si>
  <si>
    <t xml:space="preserve">3. Provide training programs to build the data literacy and analytical skills of staff at all levels </t>
  </si>
  <si>
    <t xml:space="preserve">4. Regularly assess and address data quality issues shared by users to ensure the reliability and accuracy of the information being used for decision-making </t>
  </si>
  <si>
    <t xml:space="preserve">5. Emberd the process into a rouitine health facility planing processes </t>
  </si>
  <si>
    <t xml:space="preserve">Project Output 3: The use of the Client Feedback Mechanism is institutionalised.  </t>
  </si>
  <si>
    <t>3.1 Expand the content of Afya Zan Maoni</t>
  </si>
  <si>
    <t>The MOH-approved user acceptance test report</t>
  </si>
  <si>
    <t>1. Consult stakeholders to ensure that the solution aligns with their needs and expectations of the contents (Requirement gathering)</t>
  </si>
  <si>
    <t xml:space="preserve">3. Design and customize the platform </t>
  </si>
  <si>
    <t>4. Conduct UAT with selected end users and MoH</t>
  </si>
  <si>
    <t xml:space="preserve">5. Refine the platform as per the feedack collected from UAT </t>
  </si>
  <si>
    <t>6. Train end users (ToT)</t>
  </si>
  <si>
    <t>7. Deploy the revised platform to live environment and roll out</t>
  </si>
  <si>
    <t xml:space="preserve">8. Monitor the platform for continous improvement </t>
  </si>
  <si>
    <t xml:space="preserve">9. Provide administration, support and maintenance </t>
  </si>
  <si>
    <t>10. Develop sustainability plan</t>
  </si>
  <si>
    <t>3.2 Integrate Afya Zan Maoni with Jamii ni Afya</t>
  </si>
  <si>
    <t>1.Define Interoperability Requirements between the two systems</t>
  </si>
  <si>
    <t xml:space="preserve">2. Establish data Standards and frequency of data exchanges between the two systems </t>
  </si>
  <si>
    <t xml:space="preserve">3. Conduct data mapping to identify use cases for exchanges </t>
  </si>
  <si>
    <t xml:space="preserve"> 4. Create API's  </t>
  </si>
  <si>
    <t xml:space="preserve">5. Implement robust authentication and authorization mechanisms to secure data exchange between systems. </t>
  </si>
  <si>
    <t>6. Employ ZHIL to facilitate communication between Zan Afya Maoni, DHIS2, and Jamii ni Afya</t>
  </si>
  <si>
    <t xml:space="preserve">7.Test and Validate Interoperability </t>
  </si>
  <si>
    <t xml:space="preserve">8. Train end-users and IT staff on the interoperability features and functionalities </t>
  </si>
  <si>
    <t xml:space="preserve">9. Deploy the interoperable solution to live environment </t>
  </si>
  <si>
    <t>10. Develop supporting and maintenance plan, as well as monitor the integrated platforms</t>
  </si>
  <si>
    <t>3.3 Build capacity of the ICT Department of the MOH to use and maintain Afya Zan Maoni</t>
  </si>
  <si>
    <t>The training material and report</t>
  </si>
  <si>
    <t xml:space="preserve">1. Develop a comprehensive training plan  </t>
  </si>
  <si>
    <t xml:space="preserve">2. Develop/customize training materials </t>
  </si>
  <si>
    <t>Matiko+Consultant</t>
  </si>
  <si>
    <t xml:space="preserve">3. Conduct practical On-the-Job training on quartely basis with ICT coalegues at MoH </t>
  </si>
  <si>
    <t xml:space="preserve">5. Provide ongoing support and mentoring to staff as they apply their new skills in their daily tasks </t>
  </si>
  <si>
    <t>6. Documentation of best practices and lessons learned during the training</t>
  </si>
  <si>
    <t xml:space="preserve">3.4 Promote clients’ registration on Afya Zan Maoni through facilities and CHWs’ sensitization. </t>
  </si>
  <si>
    <t>Sensitization material</t>
  </si>
  <si>
    <t xml:space="preserve">1. Develop sensitization materials </t>
  </si>
  <si>
    <t>Matiko+Maryam+Consultant</t>
  </si>
  <si>
    <t>2. Conduct sensitization to required cadres at levels</t>
  </si>
  <si>
    <t xml:space="preserve">3. Conduct periodic evaluations to assess/monitor the effectiveness of the sensitization program </t>
  </si>
  <si>
    <t xml:space="preserve">4. Documentation of best practices and lessons learned during the sensitization </t>
  </si>
  <si>
    <t>5. Monitor the platform adopation as a result of sensitization</t>
  </si>
  <si>
    <t xml:space="preserve">Total </t>
  </si>
  <si>
    <t>STAFF</t>
  </si>
  <si>
    <t>TA</t>
  </si>
  <si>
    <t>x</t>
  </si>
  <si>
    <t>ICT Salary</t>
  </si>
  <si>
    <t>Health Salary</t>
  </si>
  <si>
    <t>Health Connekt</t>
  </si>
  <si>
    <t>SUZA</t>
  </si>
  <si>
    <t>TA Balance</t>
  </si>
  <si>
    <t>Outputs</t>
  </si>
  <si>
    <t>Steps needed toward realising the Outputs</t>
  </si>
  <si>
    <t>Pax's/ Consultants</t>
  </si>
  <si>
    <t>Costs (DSA, fees, venue, refreshments, logistics etc)</t>
  </si>
  <si>
    <t>Implementation Period</t>
  </si>
  <si>
    <t xml:space="preserve">1.1 Build capacity of the Information, Communication and Technology (ICT) Department of the Ministry of Health (MOH), and Council ICTO through on the job training to properly use and maintain the existing digital health platforms (i.e. DHIS-2, and ZanEMR) </t>
  </si>
  <si>
    <t>Atleast four capacity building sessions are held annually.</t>
  </si>
  <si>
    <t>1. Needs Assessment to identify the specific skills and knowledge gaps  2. Define the training objectives based on the identified needs 3. Develop a comprehensive training plan  4.Develop/customize training materials 5.conduct practical On-the-Job training 6.Establish a feedback mechanism to collect input from participants during and after the training  7.Provide ongoing support and mentoring to staff as they apply their new skills in their daily tasks 8. Conduct periodic evaluations to assess the effectiveness of the training program 9. Documentation of best practices and lessons learned during the training</t>
  </si>
  <si>
    <t xml:space="preserve">1.2 Improve the functionality of DHIS-2, ZanEMR, and Jamii ni Afya, and harmonise the disease classification to enable their interoperability  </t>
  </si>
  <si>
    <t>1. DHIS-2, ZanEMR and Jamii ni Afya are available and accessible to all healthcate workers
2. The harmonised disease classification is available in DHIS-2 and ZanEMR.</t>
  </si>
  <si>
    <t>1. Conduct needs assessment to understand the current state of DHIS-2, ZanEMR, and Jamii ni Afya. 2. Engage with key stakeholders, including users, developers, and decision-makers, to gather input on required improvements and interoperability features. 3. Define Standards ( Establish data standards and protocols for interoperability, including a common data model and communication standards and adopt international standards such as HL7 (Health Level Seven) for health information exchange) 4. Data mapping and harmonization 5. Customize each system to align with the defined standards and interoperability requirements 6. Create Application Programming Interfaces (APIs) 7. Train end-users, administrators, and IT staff on the updated systems and new interoperability features 8. Deploy the updated systems 9.Collect feedback from users and stakeholders to identify areas for further improvement 10. Do a continuous improvement based on feedback  11. Document the entire process, including system configurations, data mappings, and interoperability protocols</t>
  </si>
  <si>
    <t xml:space="preserve">1.3 Align the data entry system and process of the MTUHA books and ZanEMR, and developing the pathway for data aggregation to DHIS2 </t>
  </si>
  <si>
    <t>1. The MTUHA books are a paper-based version of ZanEMR
2. DHIS-2 data automatically aggregated data from ZanEMR</t>
  </si>
  <si>
    <t>1. Identify the key data elements that need to be synchronized between MTUHA books, ZanEMR and DHIS2 2. Map the data fields from MTUHA books and ZanEMR to the corresponding data elements in DHIS2. 3. Define data formats in MTUHA books and ZanEMR, standardized  them and make compatible with DHIS2 requirements 4. Explore APIs provided by the respective systems as well as for the ZHIL 5. Implement data validation, security standards and cleaning 6. Train users on the updated data entry processes 7.Conduct thorough testing of the integrated system to identify and resolve any issues 8. Define the frequency and timing of data aggregation to ensure timely reporting 9. Set up regular maintenance activities to address any issues that may arise and to keep the integration up-to-date with system changes 10. Documentation for all the processes</t>
  </si>
  <si>
    <t>1.4 Create a standardised essential ICT equipment list for all health facilities, with related maintenance and replacement plans, overseen and coordinated by ICT MoH</t>
  </si>
  <si>
    <t>The standard essential ICT equipment list is approved by the Permanent Secretary of the Ministry of Health</t>
  </si>
  <si>
    <t xml:space="preserve">1. Assess the ICT needs of various health facilities including identifying the essential equipment required for efficient operations 2. Work with relevant stakeholders to establish a standardized list of essential ICT equipment that suits the diverse needs of different health facilities 3. Define maintenance requirements for each type of equipment. 4. Create detailed maintenance procedures for each type of equipment 5. Define clear criteria for determining when ICT equipment should be replaced. 6. Develop plans for replacing ICT equipment at the end of its lifecycle 7. Create budget estimates  for the initial setup, maintenance, and replacement of ICT equipment 8.Provide training to healthcare staff on the proper use and maintenance of ICT equipment </t>
  </si>
  <si>
    <t xml:space="preserve">1.5 Conduct a baseline assessment of health facility connectivity.  Include a connectivity indicator to enable regular reporting on connectivity status. </t>
  </si>
  <si>
    <t>1. The baseline assessment of health facility connectivity report is available
2. A connectivity indicator is integrated in DHIS-2.</t>
  </si>
  <si>
    <t xml:space="preserve">1. Clearly define the objectives of the baseline assessment 2. Develop Assessment Criteria 3. Develop a connectivity indicator that can be used for regular reporting 4. create appropriate tools for conducting the assessment 5. Develop plan and schedule visits to health facilities for on-site assessments 6. Collect data on various aspects of connectivity, such as internet speed, network reliability, availability of backup systems, and the presence of essential communication tools 7. Document the existing network infrastructure in each health facility 8. Interview key stakeholders, including IT personnel, healthcare providers, and administrators, to gather insights into their experiences with the current connectivity infrastructure 9. Evaluate the availability and quality of telecommunication services (e.g., phone lines, mobile networks) that support communication within and outside the health facility. 10 Analyze the collected data to identify patterns, trends, and areas of improvement. 11. Compile the findings into a comprehensive baseline report 12. Implement a system for regular reporting on connectivity status using the established connectivity indicator. 13. Create budget estimates  for the initial setup of the connectivity at the health facility </t>
  </si>
  <si>
    <t xml:space="preserve">1.6 Facilitate regular stakeholders’ engagement through the Digital Health Technical Working Group. </t>
  </si>
  <si>
    <t>Atlest four technical working groups are held every annually</t>
  </si>
  <si>
    <t xml:space="preserve">Demand the TWG converning by creating the agenda and objectives oevery two months specifically to over see, coordinate and approve all these initiatives </t>
  </si>
  <si>
    <t>Cash</t>
  </si>
  <si>
    <t>2.1 Design, develop and roll out a digital supportive supervision solution</t>
  </si>
  <si>
    <t>A digitial supportive supervision solution is created and made operational</t>
  </si>
  <si>
    <t>1. Conduct requirement gathering to collect inputs and feedback from stakeholders to ensure that the solution aligns with their needs and expectations and produce System Requiremement Specification (SRS) document 2. Conduct SRS validation with senior officials 3. Conduct design sessions for detailed design of the user interface (UI) and user experience (UX) based on the SRS 4. Coding of the system 5. Conduct user Acceptance test (UAT) to identity errors, bugs and improve accordingly 6. Conduct training and capacity building end users 7. Rollout and Deployment( Deploy the solution to live environment  8. Establish mechanisms for ongoing monitoring and evaluation of the digital solution (Collect feedback from users and stakeholders to make continuous improvements) 9. Evaluate the performance and impact of the solution over time 10. Develop a sustainability plan to ensure the long-term success of the digital solution</t>
  </si>
  <si>
    <t>2.2 Design, develop and roll out a peer learning and exchange digital collaborative tools accessible to all health workers</t>
  </si>
  <si>
    <t>A digitial peer learning and exchange solution is created and made operational</t>
  </si>
  <si>
    <t xml:space="preserve">1. Conduct requirement gathering to collect inputs and feedback from stakeholders to ensure that the solution aligns with their needs and expectations and produce System Requiremement Specification (SRS) document 2. Conduct SRS validation with senior officials 3. Conduct design sessions for detailed design of the user interface (UI) and user experience (UX) based on the SRS 4. Coding of the system 5. Conduct user Acceptance test (UAT) to identity errors, bugs and improve accordingly 6. Conduct training and capacity building end users 7. Rollout and Deployment( Deploy the solution to live environment  8. Establish mechanisms for ongoing monitoring and evaluation of the digital solution (Collect feedback from users and stakeholders to make continuous improvements) 9. Evaluate the performance and impact of the solution over time 10. Develop a sustainability plan to ensure the long-term success of the digital solution 11. Support and Maintanance for the platform </t>
  </si>
  <si>
    <t>2.3 Integrate the supportive supervision solution and digital collaborative tool with DHIS-2 through the Zanzibar Health Integration Layer</t>
  </si>
  <si>
    <t>Data from the digital supporting supervision and peer learning and exchange solutions is accessible in DHIS-2</t>
  </si>
  <si>
    <t xml:space="preserve">1. Clearly define the interoperability requirements, including data exchange formats, communication protocols, and system interfaces 2. Establish Standards (adopt and adhere to industry or international standards for data formats, communication protocols, and system interfaces0 3. Develop a comprehensive data dictionary that defines the data elements, their meanings, and the relationships between them 4.Develop mechanisms for data mapping and transformation to convert data formats between systems 5.  Design and implement well-documented APIs that allow different systems to communicate with each other 6. Employ ZHIL to facilitate communication between different systems. 7. Implement Message Queues 8. Implement robust authentication and authorization mechanisms to secure data exchange between systems 9. Conduct thorough testing with stakeholders to validate that the systems can effectively exchange data and collaborate as intended 10. Train end users including administrators. 11. Deploy the solution 12. Documentation of the API's  13. Conduct support and maintanance </t>
  </si>
  <si>
    <t>2.4 Institute data use for quality improvement culture</t>
  </si>
  <si>
    <t>At least three workshops on data use for quality improvement are held.</t>
  </si>
  <si>
    <t xml:space="preserve">1. Advocacy to gain commitment from MoH leadership to prioritize and support a data-driven culture for quality improvement 2. Develop/rejuvenate a robust data governance framework that includes policies, procedures, and roles for managing and using data 3. Provide training programs to build the data literacy and analytical skills of staff at all levels 4. Regularly assess and address data quality issues shared by users to ensure the reliability and accuracy of the information being used for decision-making 5. Emberd the process into a rouitine health facility planing processes </t>
  </si>
  <si>
    <t>3.1 Expand the content of Afya Zan Maoni to new thematic areas to encompass PHC</t>
  </si>
  <si>
    <t>Afya Zan Maoni covers all PHC thematic areas</t>
  </si>
  <si>
    <t>1. Conduct requirement gathering to collect inputs from stakeholders to ensure that the solution aligns with their needs and expectations of the contents 2. Conduct SRS validation with senior officials 3. Design and customized the platform 4. Conduct UAT 5. Refine the platform as per the feedack collected from UAT 6. Train end users 7. Roll out and deploy the platform. 8. Monit the platform for continous improvement 9. Provide support and maintance 10. Develop sustainability plan</t>
  </si>
  <si>
    <t>3.2 Integrate Afya Zan Maoni with Jamii ni Afya community system</t>
  </si>
  <si>
    <t>Afya Zan Maoni captures community-level data through Jamii ni Afya</t>
  </si>
  <si>
    <t>1.Define Interoperability Requirements 2. Establish Standards 3. Conduct data mapping 4. Create API's  5. Implement robust authentication and authorization mechanisms to secure data exchange between systems. 6. Employ ZHIL to facilitate communication between different systems 8.Test and Validate Interoperability 9. Train end-users and IT staff on the interoperability features and functionalities 10. Deploy the interoperable solution to live environment 11. Develop supporting and maintenance plan as well as sustainability plan. 12. Monitor, administer and maintain the solution</t>
  </si>
  <si>
    <t>1. Define the training objectives 2. Develop a comprehensive training plan  3.Develop/customize training materials 4.conduct practical On-the-Job training 5.Establish a feedback mechanism to collect input from participants during and after the training  6.Provide ongoing support and mentoring to staff as they apply their new skills in their daily tasks 7. Conduct periodic evaluations to assess the effectiveness of the training program 8. Documentation of best practices and lessons learned during the training</t>
  </si>
  <si>
    <t>3.4 Sensitise health facilities to register on the platform, and communities and individuals to use Afya Zan Maoni</t>
  </si>
  <si>
    <t>1. 70% of health facilities and community health volunteers are trained on the adoption of the Afya Zan Maoni
2. 70% of the shehia's leaders are sensistised on the use of  Afya Zan Maoni</t>
  </si>
  <si>
    <t>1. Identify stakeholders needed for sensitization 2. Develop sensitization materials 3. Conduct sensitization 4. Conduct periodic evaluations to assess the effectiveness of the sensitization program 5. Documentation of best practices and lessons learned during the sensitization 6. Monitor the platform adopation as a result of sensitization</t>
  </si>
  <si>
    <t>3.5 Promote the regular use of Afya Zan Maoni data for decision making around facility based quality improvement initiatives.</t>
  </si>
  <si>
    <t>At least three workshops on data use for facility based quality improvement are held.</t>
  </si>
  <si>
    <t>Q1</t>
  </si>
  <si>
    <t>Q2</t>
  </si>
  <si>
    <t>Q3</t>
  </si>
  <si>
    <t>Q4</t>
  </si>
  <si>
    <t>Project Output 1: Development of ToRs &amp; RfPs for cold chain, storage, processing</t>
  </si>
  <si>
    <t xml:space="preserve">1.1 Conduct infrastructure needs assessment (cold chain, storage, processing nodes).
</t>
  </si>
  <si>
    <t>1.3 Draft structure of Terms of Reference (ToRs): scope, technical standards, KPIs, sustainability clauses.</t>
  </si>
  <si>
    <t>1.4 Begin early market engagement to identify technical specifications.</t>
  </si>
  <si>
    <t>1.5 Finalize technical specifications &amp; service requirements.</t>
  </si>
  <si>
    <t>1.6 Create Request for Proposals (RfPs) template: eligibility, evaluation scoring, vendor qualification.</t>
  </si>
  <si>
    <t>1.7 Internal review with legal/procurement teams.</t>
  </si>
  <si>
    <t>1.8 Submit ToRs drafts for feedback to project steering committee</t>
  </si>
  <si>
    <t>1.9 Iterate on ToRs &amp; RfPs based on stakeholder and governance feedback.</t>
  </si>
  <si>
    <t>1.10 Integration of compliance elements (import regulations, energy standards, etc.).</t>
  </si>
  <si>
    <t>1.11 Develop vendor evaluation matrices and scoring rubrics.</t>
  </si>
  <si>
    <t>1.12 Package ToRs &amp; RfPs into procurement-ready documents</t>
  </si>
  <si>
    <t>1.13 	Prepare dissemination materials.</t>
  </si>
  <si>
    <t>1.14 Support procurement launch (if applicable).</t>
  </si>
  <si>
    <t>Project Output 2: Socio-economic &amp; environmental criteria development for infrastructure</t>
  </si>
  <si>
    <t>2.1 Baseline review of environmental regulations and social safeguards.</t>
  </si>
  <si>
    <t>2.2 Identification of local economic impacts (jobs, livelihoods, price stability).</t>
  </si>
  <si>
    <t>2.3 Stakeholder mapping for affected communities</t>
  </si>
  <si>
    <t xml:space="preserve">2.5 Begin risk screening framework </t>
  </si>
  <si>
    <t>2.6 Integrate socio-economic indicators with infrastructure procurement requirements.</t>
  </si>
  <si>
    <t>2.7 Develop scoring framework for infrastructure proposals.</t>
  </si>
  <si>
    <t>2.8 Pilot test criteria on hypothetical facility scenarios.</t>
  </si>
  <si>
    <t>2.9 Finalize criteria package</t>
  </si>
  <si>
    <t>2.10 	Produce technical guidance for decision makers</t>
  </si>
  <si>
    <t>2.11 Compile lessons learned into policy brief</t>
  </si>
  <si>
    <t xml:space="preserve">Project Ouput 3: PPP model evaluation and business case analysis </t>
  </si>
  <si>
    <t>3.1 Landscape review of potential private partners (logistics, processing, energy).</t>
  </si>
  <si>
    <t>3.2 Financial viability analysis—CapEx/OpEx benchmarks</t>
  </si>
  <si>
    <t>3.3 Identify potential PPP structures (concession, JV, service contract, etc.).</t>
  </si>
  <si>
    <t>3.4 Develop financial models</t>
  </si>
  <si>
    <t>3.5 Draft business case assumptions and revenue models</t>
  </si>
  <si>
    <t>3.6 Support legal and regulatory review of PPP options.</t>
  </si>
  <si>
    <t>3.7 Prepare PPP scenario matrix with risks and incentives.</t>
  </si>
  <si>
    <t>3.8 Stress-test business models against policy and market constraints</t>
  </si>
  <si>
    <t xml:space="preserve">3.9 Synthesize preferred PPP structure(s) per infrastructure category </t>
  </si>
  <si>
    <t>3.10 Final business case documentation</t>
  </si>
  <si>
    <t>3.11 Investor/partner outreach package</t>
  </si>
  <si>
    <t>3.12 Prepare recommendations for decision makers</t>
  </si>
  <si>
    <t xml:space="preserve">Project Output 4: Studies &amp; assessments informing infrastructure design and distribution models </t>
  </si>
  <si>
    <t xml:space="preserve">4.1 Collect technical field data </t>
  </si>
  <si>
    <t>4.2 Benchmark infrastructure capacity requirements</t>
  </si>
  <si>
    <t>4.3 Conduct GIS-based mapping of distribution points (if applicable)</t>
  </si>
  <si>
    <t xml:space="preserve">4.4 Engineering pre-feasibility assessments </t>
  </si>
  <si>
    <t>4.5 Evaluate distribution network performance (last-mile connectivity).</t>
  </si>
  <si>
    <t>4.6 Identify constraints: perishability, supply seasonality, energy availability.</t>
  </si>
  <si>
    <t>4.7 Develop infrastructure design concepts—modular vs centralized</t>
  </si>
  <si>
    <t>4.8 Model transportation cost vs storage proximity</t>
  </si>
  <si>
    <t>4.9 Sustainability scenario modelling</t>
  </si>
  <si>
    <t>4.10 Consolidated assessment report</t>
  </si>
  <si>
    <t>4.11 Adaptation recommendations to procurement &amp; PPP models</t>
  </si>
  <si>
    <t>4.12 Technical annexes for integration in ToRs/RfPs</t>
  </si>
  <si>
    <t xml:space="preserve">5.1 Initial stakeholder engagement </t>
  </si>
  <si>
    <t>5.2 Informative sessions to align on objectives and data collection protocols</t>
  </si>
  <si>
    <t>5.3 Participatory needs assessment workshops</t>
  </si>
  <si>
    <t>5.4 Presentation of draft criteria</t>
  </si>
  <si>
    <t>5.5 Consultative workshops to refine PPP and procurement directions</t>
  </si>
  <si>
    <t xml:space="preserve">5.6 Sector-specific roundtables </t>
  </si>
  <si>
    <t>5.7 Validation workshops for design concepts &amp; distribution models.</t>
  </si>
  <si>
    <t>5.8 Community consultations on environmental and livelihood framework.</t>
  </si>
  <si>
    <t>5.9 Capture “lessons learned” and stakeholder input.</t>
  </si>
  <si>
    <t>5.10 	High-level validation and endorsement of final outputs</t>
  </si>
  <si>
    <t xml:space="preserve">5.11 Investor dialogue sessions </t>
  </si>
  <si>
    <t>5.12 Policy &amp; strategy dissemination workshops</t>
  </si>
  <si>
    <t>Direct Project Management Costs/DPC (5%)</t>
  </si>
  <si>
    <t xml:space="preserve">Project Output 5: Stakeholder consultations &amp; validation workshops </t>
  </si>
  <si>
    <t>Sub-total GMS+DPC</t>
  </si>
  <si>
    <t>TOTAL</t>
  </si>
  <si>
    <t>Sub-outputs 1.1-1.4 (Q1)</t>
  </si>
  <si>
    <t>Sub-outputs 1.5-1.8 (Q2)</t>
  </si>
  <si>
    <t>Sub-outputs 1.9-1.11 (Q3)</t>
  </si>
  <si>
    <t>Sub-outputs 1.12-1.14 (Q4)</t>
  </si>
  <si>
    <t>Sub-outputs 2.1-2.3 (Q1)</t>
  </si>
  <si>
    <t>Sub-outputs 2.4-2.5 (Q2)</t>
  </si>
  <si>
    <t>Sub-outpts 2.6-2.8 (Q3)</t>
  </si>
  <si>
    <t>Sub-outpts 2.9-2.11 (Q4)</t>
  </si>
  <si>
    <t>Sub-outputs 3.1-3.3 (Q1)</t>
  </si>
  <si>
    <t>Sub-outputs 3.4-3.6 (Q2)</t>
  </si>
  <si>
    <t>Sub-outputs 3.7-3.9 (Q3)</t>
  </si>
  <si>
    <t>Sub-outputs 3.10-3.12 (Q4)</t>
  </si>
  <si>
    <t>Sub-outputs 4.1-4.3 (Q1)</t>
  </si>
  <si>
    <t>Sub-outputs  4.4-4.6 (Q2)</t>
  </si>
  <si>
    <t>Sub-outputs 4.7-4.9 (Q3)</t>
  </si>
  <si>
    <t>Sub-outputs 4.10-4.12 (Q4)</t>
  </si>
  <si>
    <t>Sub-outputs 5.1-5.3 (Q1)</t>
  </si>
  <si>
    <t>Sub-outputs 5.4-5.6 (Q2)</t>
  </si>
  <si>
    <t>Sub-outputs 5.7-5.9 (Q3)</t>
  </si>
  <si>
    <t>Sub-outputs 5.10-5.12 (Q4)</t>
  </si>
  <si>
    <t>TOTAL (USD)</t>
  </si>
  <si>
    <t>Sub-total  sub-outputs 1.1-1.4</t>
  </si>
  <si>
    <t xml:space="preserve">Sub-total sub-outputs 1.5-1.8 </t>
  </si>
  <si>
    <t>Sub-total sub-outputs 1.9-1.11</t>
  </si>
  <si>
    <t xml:space="preserve">Sub-total sub-outputs 1.12-1.14 </t>
  </si>
  <si>
    <t>Sub-total Project Output 1</t>
  </si>
  <si>
    <t xml:space="preserve">Sub-total sub-outputs 2.1-2.3 </t>
  </si>
  <si>
    <t>Sub-total sub-outputs 2.4-2.5</t>
  </si>
  <si>
    <t xml:space="preserve">Sub-total sub-outpts 2.6-2.8 </t>
  </si>
  <si>
    <t>Sub-total sub-outpts 2.9-2.11</t>
  </si>
  <si>
    <t>Sub-total sub-outputs 3.1-3.3</t>
  </si>
  <si>
    <t>Sub-total sub-outputs 3.4-3.6</t>
  </si>
  <si>
    <t>Sub-total Project Output 2</t>
  </si>
  <si>
    <t>Sub-total sub-outputs 3.7-3.9</t>
  </si>
  <si>
    <t xml:space="preserve">Sub-total sub-outputs 3.10-3.12 </t>
  </si>
  <si>
    <t xml:space="preserve">Sub-total sub-outputs 4.1-4.3 </t>
  </si>
  <si>
    <t>Sub-total sub-outputs  4.4-4.6</t>
  </si>
  <si>
    <t>Sub-total sub-outputs 4.7-4.9</t>
  </si>
  <si>
    <t xml:space="preserve">Sub-total sub-outputs 4.10-4.12 </t>
  </si>
  <si>
    <t>Sub-total sub-outputs 5.1-5.3</t>
  </si>
  <si>
    <t>Sub-total sub-outputs 5.4-5.6</t>
  </si>
  <si>
    <t>Sub-total sub-outputs 5.7-5.9</t>
  </si>
  <si>
    <t>Sub-total sub-outputs 5.10-5.12</t>
  </si>
  <si>
    <t>Sub-total Project Output 5</t>
  </si>
  <si>
    <t>Sub-total Project Output 4</t>
  </si>
  <si>
    <t>Sub-total Project Output 3</t>
  </si>
  <si>
    <t>Sub-total Project Outputs 1-5</t>
  </si>
  <si>
    <t>UN General Management Services (GMS) (8%)</t>
  </si>
  <si>
    <t>Needs assessment</t>
  </si>
  <si>
    <t>1.2 Review existing national &amp; regional procurement frameworks.</t>
  </si>
  <si>
    <t>Draft ToR template</t>
  </si>
  <si>
    <t xml:space="preserve">Technical specifications identified </t>
  </si>
  <si>
    <t>Procurement policy review assessment</t>
  </si>
  <si>
    <t>Technical specifications &amp; service requirements produced</t>
  </si>
  <si>
    <t>RfP template completed</t>
  </si>
  <si>
    <t>Report on outcomes of internal review and recommendations</t>
  </si>
  <si>
    <t>Draft ToRs submitted to project steering committee</t>
  </si>
  <si>
    <t>Report on ToRs &amp; RfPs based on stakeholder and governance feedback</t>
  </si>
  <si>
    <t>ToRs &amp; RfPs updated with compliance elements</t>
  </si>
  <si>
    <t>Vendor evaluation model and scoring rubrics developed</t>
  </si>
  <si>
    <t>Finalize package of ToRs &amp; RfPs into procurement package</t>
  </si>
  <si>
    <t>Dissemination materials finalized</t>
  </si>
  <si>
    <t xml:space="preserve">Procurement initiated </t>
  </si>
  <si>
    <t>Report on review of environmental regulations &amp; social safeguards</t>
  </si>
  <si>
    <t>Analysis report of local economic impacts</t>
  </si>
  <si>
    <t>Report on mapping of affected communities</t>
  </si>
  <si>
    <t xml:space="preserve">2.4 Develop draft criteria for infrastructure </t>
  </si>
  <si>
    <t>Draft criteria developed including:
-Environmental impact factors
-Social inclusion &amp; gender metrics
-Energy efficiency thresholds
-Climate resilience standards</t>
  </si>
  <si>
    <t>Draft risk screening framework developed including GHG emissions, land use, water use, and other factors.</t>
  </si>
  <si>
    <t>Socio-economic indicators integrated into infrastructure procurement requirements.</t>
  </si>
  <si>
    <t>Scoring framework developed</t>
  </si>
  <si>
    <t>Analysis of modelled test criteria results</t>
  </si>
  <si>
    <t>Report on criteria for infrastructure selection</t>
  </si>
  <si>
    <t>Technicalguidance report for decision makers</t>
  </si>
  <si>
    <t>Policy brief on lessons learnt</t>
  </si>
  <si>
    <t xml:space="preserve">Report on landscape review </t>
  </si>
  <si>
    <t>Financial viability analysis complete</t>
  </si>
  <si>
    <t>Repport on PPP structure options (concession, JV, service contract, etc, exit strategy, etc.)</t>
  </si>
  <si>
    <t>Analysis of business case &amp; revenue models</t>
  </si>
  <si>
    <t>Analysis of viable financial models/options (e.g. cash flow projections, demand, pricing, subsidy levels, etc.)</t>
  </si>
  <si>
    <t>Report on legal and regulatory review of PPP options.</t>
  </si>
  <si>
    <t xml:space="preserve">PPP scenario matrix  developed </t>
  </si>
  <si>
    <t>Analysis of stress-test scenario modelling</t>
  </si>
  <si>
    <t>Final package of business case documentation prepared</t>
  </si>
  <si>
    <t>Analysis of preferred/optimal PPP structures completed, per infrastructure category (cold storage, hubs, processing high-value strains, etc.)</t>
  </si>
  <si>
    <t>Final package for investor/partner outreach completed</t>
  </si>
  <si>
    <t>Report on recommendations for decision makers</t>
  </si>
  <si>
    <t xml:space="preserve">Report on field data collected </t>
  </si>
  <si>
    <t xml:space="preserve">Analysis of infrastructure requirements based on technical field data analysis </t>
  </si>
  <si>
    <t>Mapping (including GIS, as applicable) of distribution points completed</t>
  </si>
  <si>
    <t>Pre-feasability assessment completed (e.g., site suitability, power, access, etc.)</t>
  </si>
  <si>
    <t>Evaluation of distribution network (e.g. ,last-mile connectivity)</t>
  </si>
  <si>
    <t xml:space="preserve">Report on factors and recommendations to address market constraints </t>
  </si>
  <si>
    <t>Analysis of infrastrucure design options</t>
  </si>
  <si>
    <t>Report on modelling of transporation costs vs storage proximity</t>
  </si>
  <si>
    <t>Report on sustainability scenario modelling (e,g, solar hybrid cold chain, circular processing; mixed products – e.g. sea cucumber &amp; seaweed applicability)</t>
  </si>
  <si>
    <t>Assessment report completed</t>
  </si>
  <si>
    <t>Technical annexes completed</t>
  </si>
  <si>
    <t>Stakeholder engagement constituents and schedule identified ((government, producers, processors, logistics providers, et. al.)</t>
  </si>
  <si>
    <t xml:space="preserve">Stakeholder preparatory meetings </t>
  </si>
  <si>
    <t xml:space="preserve">Workshops </t>
  </si>
  <si>
    <t xml:space="preserve">Presentation of draft criteria developed </t>
  </si>
  <si>
    <t>Meetings/workshops/roundtables</t>
  </si>
  <si>
    <t>Report on lessions learnt &amp; stakeholder feedback</t>
  </si>
  <si>
    <t xml:space="preserve">Validation workshops with decision makers </t>
  </si>
  <si>
    <t>Investor dialogue/workshop</t>
  </si>
  <si>
    <t>Missions</t>
  </si>
  <si>
    <t>TBD</t>
  </si>
  <si>
    <t>1.1.1 Field mission to Zanzibar to inform needs assessment/cold storage/processing models (late Jan/earlyFeb.2026)</t>
  </si>
  <si>
    <t>1.5.1 Field mission best practice cold stroage/processing facilities to inform technical specifications &amp; service requirements (March 2026)</t>
  </si>
  <si>
    <t>Project costs DPC 5%</t>
  </si>
  <si>
    <t>REVISED</t>
  </si>
  <si>
    <t>GMS</t>
  </si>
  <si>
    <t>DPC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</si>
</sst>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_(* #,##0_);_(* \(#,##0\);_(* &quot;-&quot;??_);_(@_)"/>
    <numFmt numFmtId="167" formatCode="0.0"/>
    <numFmt numFmtId="168" formatCode="_(* #,##0.0_);_(* \(#,##0.0\);_(* &quot;-&quot;??_);_(@_)"/>
  </numFmts>
  <fonts count="13">
    <font>
      <sz val="12"/>
      <color theme="1"/>
      <name val="Calibri"/>
      <family val="2"/>
      <scheme val="minor"/>
    </font>
    <font>
      <sz val="12"/>
      <color theme="1"/>
      <name val="Calibri"/>
      <family val="2"/>
      <scheme val="minor"/>
    </font>
    <font>
      <b/>
      <sz val="12"/>
      <color theme="1"/>
      <name val="Calibri"/>
      <family val="2"/>
      <scheme val="minor"/>
    </font>
    <font>
      <sz val="12"/>
      <color rgb="FF000000"/>
      <name val="Calibri"/>
      <family val="2"/>
    </font>
    <font>
      <b/>
      <sz val="12"/>
      <color rgb="FF000000"/>
      <name val="Calibri"/>
      <family val="2"/>
    </font>
    <font>
      <sz val="12"/>
      <color rgb="FF000000"/>
      <name val="Calibri"/>
      <family val="2"/>
      <scheme val="minor"/>
    </font>
    <font>
      <sz val="12"/>
      <name val="Calibri"/>
      <family val="2"/>
      <scheme val="minor"/>
    </font>
    <font>
      <b/>
      <sz val="12"/>
      <name val="Calibri"/>
      <family val="2"/>
      <scheme val="minor"/>
    </font>
    <font>
      <b/>
      <sz val="12"/>
      <color rgb="FF000000"/>
      <name val="Calibri"/>
      <family val="2"/>
      <scheme val="minor"/>
    </font>
    <font>
      <b/>
      <sz val="12"/>
      <color theme="0"/>
      <name val="Calibri (Body)"/>
    </font>
    <font>
      <b/>
      <sz val="12"/>
      <name val="Calibri (Body)"/>
    </font>
    <font>
      <b/>
      <sz val="12"/>
      <name val="Calibri"/>
      <family val="2"/>
    </font>
    <font>
      <b/>
      <sz val="12"/>
      <color theme="0"/>
      <name val="Calibri"/>
      <family val="2"/>
      <scheme val="minor"/>
    </font>
  </fonts>
  <fills count="19">
    <fill>
      <patternFill patternType="none"/>
    </fill>
    <fill>
      <patternFill patternType="gray125"/>
    </fill>
    <fill>
      <patternFill patternType="solid">
        <fgColor theme="0"/>
        <bgColor indexed="64"/>
      </patternFill>
    </fill>
    <fill>
      <patternFill patternType="solid">
        <fgColor theme="8" tint="0.39997558519241921"/>
        <bgColor indexed="64"/>
      </patternFill>
    </fill>
    <fill>
      <patternFill patternType="solid">
        <fgColor theme="8" tint="0.59999389629810485"/>
        <bgColor indexed="64"/>
      </patternFill>
    </fill>
    <fill>
      <patternFill patternType="solid">
        <fgColor theme="8" tint="0.79998168889431442"/>
        <bgColor indexed="64"/>
      </patternFill>
    </fill>
    <fill>
      <patternFill patternType="solid">
        <fgColor theme="8"/>
        <bgColor indexed="64"/>
      </patternFill>
    </fill>
    <fill>
      <patternFill patternType="solid">
        <fgColor rgb="FFFFFFFF"/>
        <bgColor rgb="FF000000"/>
      </patternFill>
    </fill>
    <fill>
      <patternFill patternType="solid">
        <fgColor theme="8" tint="-0.249977111117893"/>
        <bgColor indexed="64"/>
      </patternFill>
    </fill>
    <fill>
      <patternFill patternType="solid">
        <fgColor theme="0"/>
        <bgColor rgb="FF000000"/>
      </patternFill>
    </fill>
    <fill>
      <patternFill patternType="solid">
        <fgColor theme="4" tint="0.59996337778862885"/>
        <bgColor indexed="64"/>
      </patternFill>
    </fill>
    <fill>
      <patternFill patternType="solid">
        <fgColor theme="4" tint="0.59996337778862885"/>
        <bgColor rgb="FF000000"/>
      </patternFill>
    </fill>
    <fill>
      <patternFill patternType="solid">
        <fgColor rgb="FFFFFFFF"/>
        <bgColor indexed="64"/>
      </patternFill>
    </fill>
    <fill>
      <patternFill patternType="solid">
        <fgColor theme="4" tint="-0.24994659260841701"/>
        <bgColor indexed="64"/>
      </patternFill>
    </fill>
    <fill>
      <patternFill patternType="solid">
        <fgColor theme="1"/>
        <bgColor indexed="64"/>
      </patternFill>
    </fill>
    <fill>
      <patternFill patternType="solid">
        <fgColor theme="9" tint="0.59996337778862885"/>
        <bgColor indexed="64"/>
      </patternFill>
    </fill>
    <fill>
      <patternFill patternType="solid">
        <fgColor theme="9" tint="0.59996337778862885"/>
        <bgColor rgb="FF000000"/>
      </patternFill>
    </fill>
    <fill>
      <patternFill patternType="solid">
        <fgColor theme="9" tint="0.39994506668294322"/>
        <bgColor indexed="64"/>
      </patternFill>
    </fill>
    <fill>
      <patternFill patternType="solid">
        <fgColor theme="9" tint="0.39994506668294322"/>
        <bgColor rgb="FF000000"/>
      </patternFill>
    </fill>
  </fills>
  <borders count="8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rgb="FF000000"/>
      </left>
      <right style="thin">
        <color rgb="FF000000"/>
      </right>
      <top style="thin">
        <color rgb="FF000000"/>
      </top>
      <bottom style="thin">
        <color rgb="FF000000"/>
      </bottom>
      <diagonal/>
    </border>
    <border>
      <left/>
      <right style="thin">
        <color indexed="64"/>
      </right>
      <top style="thin">
        <color indexed="64"/>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medium">
        <color indexed="64"/>
      </left>
      <right style="medium">
        <color indexed="64"/>
      </right>
      <top style="medium">
        <color indexed="64"/>
      </top>
      <bottom style="medium">
        <color indexed="64"/>
      </bottom>
      <diagonal/>
    </border>
    <border>
      <left style="thin">
        <color indexed="64"/>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bottom/>
      <diagonal/>
    </border>
    <border>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top/>
      <bottom style="medium">
        <color indexed="64"/>
      </bottom>
      <diagonal/>
    </border>
    <border>
      <left style="medium">
        <color indexed="64"/>
      </left>
      <right/>
      <top style="medium">
        <color indexed="64"/>
      </top>
      <bottom style="thin">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medium">
        <color indexed="64"/>
      </bottom>
      <diagonal/>
    </border>
    <border>
      <left style="medium">
        <color indexed="64"/>
      </left>
      <right/>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right style="medium">
        <color indexed="64"/>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thin">
        <color indexed="64"/>
      </right>
      <top/>
      <bottom style="medium">
        <color indexed="64"/>
      </bottom>
      <diagonal/>
    </border>
    <border>
      <left/>
      <right style="thin">
        <color indexed="64"/>
      </right>
      <top style="medium">
        <color indexed="64"/>
      </top>
      <bottom style="medium">
        <color indexed="64"/>
      </bottom>
      <diagonal/>
    </border>
    <border>
      <left/>
      <right style="thin">
        <color indexed="64"/>
      </right>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bottom style="thin">
        <color rgb="FF000000"/>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bottom/>
      <diagonal/>
    </border>
    <border>
      <left/>
      <right style="medium">
        <color indexed="64"/>
      </right>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right/>
      <top/>
      <bottom style="medium">
        <color indexed="64"/>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s>
  <cellStyleXfs count="2">
    <xf numFmtId="0" fontId="0" fillId="0" borderId="0"/>
    <xf numFmtId="43" fontId="1" fillId="0" borderId="0"/>
  </cellStyleXfs>
  <cellXfs count="505">
    <xf numFmtId="0" fontId="0" fillId="0" borderId="0" xfId="0"/>
    <xf numFmtId="0" fontId="0" fillId="2" borderId="0" xfId="0" applyFill="1"/>
    <xf numFmtId="0" fontId="0" fillId="2" borderId="1" xfId="0" applyFill="1" applyBorder="1" applyAlignment="1">
      <alignment horizontal="center"/>
    </xf>
    <xf numFmtId="0" fontId="0" fillId="2" borderId="1" xfId="0" applyFill="1" applyBorder="1" applyAlignment="1">
      <alignment wrapText="1"/>
    </xf>
    <xf numFmtId="0" fontId="0" fillId="2" borderId="1" xfId="0" applyFill="1" applyBorder="1" applyAlignment="1">
      <alignment vertical="top" wrapText="1"/>
    </xf>
    <xf numFmtId="0" fontId="0" fillId="2" borderId="1" xfId="0" applyFill="1" applyBorder="1" applyAlignment="1">
      <alignment vertical="top"/>
    </xf>
    <xf numFmtId="0" fontId="0" fillId="2" borderId="0" xfId="0" applyFill="1" applyAlignment="1">
      <alignment vertical="top"/>
    </xf>
    <xf numFmtId="0" fontId="0" fillId="2" borderId="1" xfId="0" applyFill="1" applyBorder="1" applyAlignment="1">
      <alignment horizontal="center" vertical="top"/>
    </xf>
    <xf numFmtId="0" fontId="0" fillId="2" borderId="0" xfId="0" applyFill="1" applyAlignment="1">
      <alignment wrapText="1"/>
    </xf>
    <xf numFmtId="164" fontId="0" fillId="2" borderId="1" xfId="1" applyNumberFormat="1" applyFont="1" applyFill="1" applyBorder="1" applyAlignment="1">
      <alignment vertical="top"/>
    </xf>
    <xf numFmtId="164" fontId="0" fillId="2" borderId="0" xfId="1" applyNumberFormat="1" applyFont="1" applyFill="1"/>
    <xf numFmtId="164" fontId="2" fillId="5" borderId="1" xfId="1" applyNumberFormat="1" applyFont="1" applyFill="1" applyBorder="1" applyAlignment="1">
      <alignment vertical="top"/>
    </xf>
    <xf numFmtId="0" fontId="0" fillId="2" borderId="1" xfId="0" applyFill="1" applyBorder="1"/>
    <xf numFmtId="0" fontId="2" fillId="4" borderId="1" xfId="0" applyFont="1" applyFill="1" applyBorder="1" applyAlignment="1">
      <alignment vertical="top"/>
    </xf>
    <xf numFmtId="0" fontId="2" fillId="6" borderId="1" xfId="0" applyFont="1" applyFill="1" applyBorder="1" applyAlignment="1">
      <alignment horizontal="center"/>
    </xf>
    <xf numFmtId="164" fontId="2" fillId="3" borderId="1" xfId="1" applyNumberFormat="1" applyFont="1" applyFill="1" applyBorder="1"/>
    <xf numFmtId="0" fontId="0" fillId="2" borderId="1" xfId="0" applyFill="1" applyBorder="1" applyAlignment="1">
      <alignment horizontal="center" vertical="center"/>
    </xf>
    <xf numFmtId="164" fontId="0" fillId="2" borderId="1" xfId="0" applyNumberFormat="1" applyFill="1" applyBorder="1" applyAlignment="1">
      <alignment vertical="top"/>
    </xf>
    <xf numFmtId="164" fontId="0" fillId="2" borderId="1" xfId="1" applyNumberFormat="1" applyFont="1" applyFill="1" applyBorder="1"/>
    <xf numFmtId="3" fontId="0" fillId="2" borderId="0" xfId="0" applyNumberFormat="1" applyFill="1"/>
    <xf numFmtId="3" fontId="0" fillId="2" borderId="0" xfId="0" applyNumberFormat="1" applyFill="1" applyAlignment="1">
      <alignment vertical="top"/>
    </xf>
    <xf numFmtId="0" fontId="0" fillId="2" borderId="0" xfId="0" applyFill="1" applyAlignment="1">
      <alignment vertical="top" wrapText="1"/>
    </xf>
    <xf numFmtId="3" fontId="0" fillId="0" borderId="1" xfId="0" applyNumberFormat="1" applyBorder="1"/>
    <xf numFmtId="43" fontId="0" fillId="2" borderId="0" xfId="0" applyNumberFormat="1" applyFill="1"/>
    <xf numFmtId="164" fontId="0" fillId="2" borderId="1" xfId="0" applyNumberFormat="1" applyFill="1" applyBorder="1"/>
    <xf numFmtId="164" fontId="3" fillId="7" borderId="1" xfId="1" applyNumberFormat="1" applyFont="1" applyFill="1" applyBorder="1"/>
    <xf numFmtId="164" fontId="0" fillId="2" borderId="1" xfId="1" applyNumberFormat="1" applyFont="1" applyFill="1" applyBorder="1" applyAlignment="1">
      <alignment horizontal="center" vertical="top"/>
    </xf>
    <xf numFmtId="164" fontId="3" fillId="7" borderId="1" xfId="1" applyNumberFormat="1" applyFont="1" applyFill="1" applyBorder="1" applyAlignment="1">
      <alignment horizontal="center"/>
    </xf>
    <xf numFmtId="164" fontId="0" fillId="2" borderId="2" xfId="1" applyNumberFormat="1" applyFont="1" applyFill="1" applyBorder="1" applyAlignment="1">
      <alignment horizontal="center" vertical="top"/>
    </xf>
    <xf numFmtId="164" fontId="0" fillId="2" borderId="2" xfId="1" applyNumberFormat="1" applyFont="1" applyFill="1" applyBorder="1" applyAlignment="1">
      <alignment vertical="top"/>
    </xf>
    <xf numFmtId="164" fontId="0" fillId="2" borderId="13" xfId="1" applyNumberFormat="1" applyFont="1" applyFill="1" applyBorder="1" applyAlignment="1">
      <alignment horizontal="center" vertical="top"/>
    </xf>
    <xf numFmtId="164" fontId="0" fillId="2" borderId="14" xfId="1" applyNumberFormat="1" applyFont="1" applyFill="1" applyBorder="1" applyAlignment="1">
      <alignment horizontal="center" vertical="top"/>
    </xf>
    <xf numFmtId="164" fontId="0" fillId="2" borderId="11" xfId="1" applyNumberFormat="1" applyFont="1" applyFill="1" applyBorder="1" applyAlignment="1">
      <alignment horizontal="center" vertical="top"/>
    </xf>
    <xf numFmtId="164" fontId="0" fillId="2" borderId="6" xfId="1" applyNumberFormat="1" applyFont="1" applyFill="1" applyBorder="1" applyAlignment="1">
      <alignment horizontal="center" vertical="top"/>
    </xf>
    <xf numFmtId="164" fontId="0" fillId="2" borderId="1" xfId="1" applyNumberFormat="1" applyFont="1" applyFill="1" applyBorder="1" applyAlignment="1">
      <alignment horizontal="center"/>
    </xf>
    <xf numFmtId="164" fontId="0" fillId="2" borderId="1" xfId="1" applyNumberFormat="1" applyFont="1" applyFill="1" applyBorder="1" applyAlignment="1">
      <alignment horizontal="center" vertical="center"/>
    </xf>
    <xf numFmtId="164" fontId="0" fillId="2" borderId="4" xfId="1" applyNumberFormat="1" applyFont="1" applyFill="1" applyBorder="1" applyAlignment="1">
      <alignment vertical="top"/>
    </xf>
    <xf numFmtId="164" fontId="0" fillId="2" borderId="17" xfId="1" applyNumberFormat="1" applyFont="1" applyFill="1" applyBorder="1" applyAlignment="1">
      <alignment horizontal="center" vertical="top"/>
    </xf>
    <xf numFmtId="164" fontId="0" fillId="2" borderId="18" xfId="1" applyNumberFormat="1" applyFont="1" applyFill="1" applyBorder="1" applyAlignment="1">
      <alignment horizontal="center" vertical="top"/>
    </xf>
    <xf numFmtId="164" fontId="0" fillId="2" borderId="19" xfId="1" applyNumberFormat="1" applyFont="1" applyFill="1" applyBorder="1" applyAlignment="1">
      <alignment horizontal="center" vertical="top"/>
    </xf>
    <xf numFmtId="164" fontId="0" fillId="2" borderId="20" xfId="1" applyNumberFormat="1" applyFont="1" applyFill="1" applyBorder="1" applyAlignment="1">
      <alignment horizontal="center" vertical="top"/>
    </xf>
    <xf numFmtId="164" fontId="0" fillId="2" borderId="21" xfId="1" applyNumberFormat="1" applyFont="1" applyFill="1" applyBorder="1" applyAlignment="1">
      <alignment horizontal="center" vertical="top"/>
    </xf>
    <xf numFmtId="164" fontId="2" fillId="3" borderId="23" xfId="1" applyNumberFormat="1" applyFont="1" applyFill="1" applyBorder="1" applyAlignment="1">
      <alignment vertical="top"/>
    </xf>
    <xf numFmtId="164" fontId="2" fillId="3" borderId="24" xfId="1" applyNumberFormat="1" applyFont="1" applyFill="1" applyBorder="1" applyAlignment="1">
      <alignment vertical="top"/>
    </xf>
    <xf numFmtId="164" fontId="0" fillId="2" borderId="2" xfId="1" applyNumberFormat="1" applyFont="1" applyFill="1" applyBorder="1" applyAlignment="1">
      <alignment horizontal="center"/>
    </xf>
    <xf numFmtId="164" fontId="0" fillId="2" borderId="2" xfId="1" applyNumberFormat="1" applyFont="1" applyFill="1" applyBorder="1"/>
    <xf numFmtId="164" fontId="0" fillId="2" borderId="6" xfId="1" applyNumberFormat="1" applyFont="1" applyFill="1" applyBorder="1" applyAlignment="1">
      <alignment vertical="top"/>
    </xf>
    <xf numFmtId="164" fontId="0" fillId="2" borderId="16" xfId="1" applyNumberFormat="1" applyFont="1" applyFill="1" applyBorder="1" applyAlignment="1">
      <alignment horizontal="center" vertical="top"/>
    </xf>
    <xf numFmtId="164" fontId="0" fillId="2" borderId="27" xfId="1" applyNumberFormat="1" applyFont="1" applyFill="1" applyBorder="1" applyAlignment="1">
      <alignment horizontal="center" vertical="top"/>
    </xf>
    <xf numFmtId="164" fontId="0" fillId="2" borderId="28" xfId="1" applyNumberFormat="1" applyFont="1" applyFill="1" applyBorder="1" applyAlignment="1">
      <alignment horizontal="center" vertical="top"/>
    </xf>
    <xf numFmtId="164" fontId="0" fillId="2" borderId="9" xfId="1" applyNumberFormat="1" applyFont="1" applyFill="1" applyBorder="1" applyAlignment="1">
      <alignment vertical="top"/>
    </xf>
    <xf numFmtId="0" fontId="2" fillId="8" borderId="22" xfId="0" applyFont="1" applyFill="1" applyBorder="1" applyAlignment="1">
      <alignment horizontal="center" vertical="center"/>
    </xf>
    <xf numFmtId="0" fontId="2" fillId="8" borderId="23" xfId="0" applyFont="1" applyFill="1" applyBorder="1" applyAlignment="1">
      <alignment horizontal="center" vertical="center"/>
    </xf>
    <xf numFmtId="0" fontId="2" fillId="8" borderId="24" xfId="0" applyFont="1" applyFill="1" applyBorder="1" applyAlignment="1">
      <alignment horizontal="center" vertical="center"/>
    </xf>
    <xf numFmtId="0" fontId="2" fillId="8" borderId="36" xfId="0" applyFont="1" applyFill="1" applyBorder="1" applyAlignment="1">
      <alignment horizontal="center" vertical="center"/>
    </xf>
    <xf numFmtId="0" fontId="2" fillId="8" borderId="43" xfId="0" applyFont="1" applyFill="1" applyBorder="1" applyAlignment="1">
      <alignment horizontal="center" vertical="center"/>
    </xf>
    <xf numFmtId="164" fontId="0" fillId="2" borderId="45" xfId="1" applyNumberFormat="1" applyFont="1" applyFill="1" applyBorder="1" applyAlignment="1">
      <alignment vertical="top"/>
    </xf>
    <xf numFmtId="164" fontId="0" fillId="2" borderId="46" xfId="1" applyNumberFormat="1" applyFont="1" applyFill="1" applyBorder="1" applyAlignment="1">
      <alignment vertical="top"/>
    </xf>
    <xf numFmtId="164" fontId="0" fillId="2" borderId="23" xfId="1" applyNumberFormat="1" applyFont="1" applyFill="1" applyBorder="1" applyAlignment="1">
      <alignment vertical="top"/>
    </xf>
    <xf numFmtId="164" fontId="0" fillId="2" borderId="23" xfId="1" applyNumberFormat="1" applyFont="1" applyFill="1" applyBorder="1" applyAlignment="1">
      <alignment horizontal="center" vertical="top"/>
    </xf>
    <xf numFmtId="164" fontId="0" fillId="2" borderId="36" xfId="1" applyNumberFormat="1" applyFont="1" applyFill="1" applyBorder="1" applyAlignment="1">
      <alignment horizontal="center" vertical="top"/>
    </xf>
    <xf numFmtId="164" fontId="0" fillId="2" borderId="22" xfId="1" applyNumberFormat="1" applyFont="1" applyFill="1" applyBorder="1" applyAlignment="1">
      <alignment horizontal="center" vertical="top"/>
    </xf>
    <xf numFmtId="164" fontId="0" fillId="2" borderId="24" xfId="1" applyNumberFormat="1" applyFont="1" applyFill="1" applyBorder="1" applyAlignment="1">
      <alignment horizontal="center" vertical="top"/>
    </xf>
    <xf numFmtId="164" fontId="0" fillId="2" borderId="47" xfId="1" applyNumberFormat="1" applyFont="1" applyFill="1" applyBorder="1" applyAlignment="1">
      <alignment vertical="top"/>
    </xf>
    <xf numFmtId="164" fontId="2" fillId="3" borderId="49" xfId="1" applyNumberFormat="1" applyFont="1" applyFill="1" applyBorder="1" applyAlignment="1">
      <alignment vertical="top"/>
    </xf>
    <xf numFmtId="164" fontId="2" fillId="3" borderId="48" xfId="1" applyNumberFormat="1" applyFont="1" applyFill="1" applyBorder="1" applyAlignment="1">
      <alignment vertical="top"/>
    </xf>
    <xf numFmtId="164" fontId="2" fillId="3" borderId="39" xfId="1" applyNumberFormat="1" applyFont="1" applyFill="1" applyBorder="1" applyAlignment="1">
      <alignment vertical="top"/>
    </xf>
    <xf numFmtId="164" fontId="2" fillId="3" borderId="50" xfId="1" applyNumberFormat="1" applyFont="1" applyFill="1" applyBorder="1" applyAlignment="1">
      <alignment vertical="top"/>
    </xf>
    <xf numFmtId="164" fontId="3" fillId="7" borderId="6" xfId="1" applyNumberFormat="1" applyFont="1" applyFill="1" applyBorder="1"/>
    <xf numFmtId="164" fontId="3" fillId="7" borderId="6" xfId="1" applyNumberFormat="1" applyFont="1" applyFill="1" applyBorder="1" applyAlignment="1">
      <alignment horizontal="center"/>
    </xf>
    <xf numFmtId="164" fontId="2" fillId="3" borderId="47" xfId="1" applyNumberFormat="1" applyFont="1" applyFill="1" applyBorder="1" applyAlignment="1">
      <alignment vertical="top"/>
    </xf>
    <xf numFmtId="164" fontId="3" fillId="7" borderId="18" xfId="1" applyNumberFormat="1" applyFont="1" applyFill="1" applyBorder="1"/>
    <xf numFmtId="164" fontId="0" fillId="2" borderId="18" xfId="1" applyNumberFormat="1" applyFont="1" applyFill="1" applyBorder="1" applyAlignment="1">
      <alignment vertical="top"/>
    </xf>
    <xf numFmtId="164" fontId="3" fillId="7" borderId="18" xfId="1" applyNumberFormat="1" applyFont="1" applyFill="1" applyBorder="1" applyAlignment="1">
      <alignment horizontal="center"/>
    </xf>
    <xf numFmtId="164" fontId="0" fillId="2" borderId="51" xfId="1" applyNumberFormat="1" applyFont="1" applyFill="1" applyBorder="1" applyAlignment="1">
      <alignment vertical="top"/>
    </xf>
    <xf numFmtId="164" fontId="2" fillId="3" borderId="36" xfId="1" applyNumberFormat="1" applyFont="1" applyFill="1" applyBorder="1" applyAlignment="1">
      <alignment vertical="top"/>
    </xf>
    <xf numFmtId="164" fontId="0" fillId="2" borderId="16" xfId="1" applyNumberFormat="1" applyFont="1" applyFill="1" applyBorder="1" applyAlignment="1">
      <alignment vertical="top"/>
    </xf>
    <xf numFmtId="164" fontId="0" fillId="2" borderId="36" xfId="1" applyNumberFormat="1" applyFont="1" applyFill="1" applyBorder="1" applyAlignment="1">
      <alignment vertical="top"/>
    </xf>
    <xf numFmtId="164" fontId="2" fillId="3" borderId="37" xfId="1" applyNumberFormat="1" applyFont="1" applyFill="1" applyBorder="1" applyAlignment="1">
      <alignment vertical="top"/>
    </xf>
    <xf numFmtId="164" fontId="0" fillId="2" borderId="31" xfId="1" applyNumberFormat="1" applyFont="1" applyFill="1" applyBorder="1" applyAlignment="1">
      <alignment vertical="top"/>
    </xf>
    <xf numFmtId="164" fontId="3" fillId="7" borderId="16" xfId="1" applyNumberFormat="1" applyFont="1" applyFill="1" applyBorder="1"/>
    <xf numFmtId="164" fontId="3" fillId="7" borderId="2" xfId="1" applyNumberFormat="1" applyFont="1" applyFill="1" applyBorder="1"/>
    <xf numFmtId="0" fontId="0" fillId="2" borderId="52" xfId="0" applyFill="1" applyBorder="1" applyAlignment="1">
      <alignment vertical="top"/>
    </xf>
    <xf numFmtId="164" fontId="3" fillId="7" borderId="17" xfId="1" applyNumberFormat="1" applyFont="1" applyFill="1" applyBorder="1" applyAlignment="1">
      <alignment horizontal="center"/>
    </xf>
    <xf numFmtId="164" fontId="3" fillId="7" borderId="19" xfId="1" applyNumberFormat="1" applyFont="1" applyFill="1" applyBorder="1" applyAlignment="1">
      <alignment horizontal="center"/>
    </xf>
    <xf numFmtId="164" fontId="3" fillId="7" borderId="20" xfId="1" applyNumberFormat="1" applyFont="1" applyFill="1" applyBorder="1" applyAlignment="1">
      <alignment horizontal="center"/>
    </xf>
    <xf numFmtId="164" fontId="3" fillId="7" borderId="21" xfId="1" applyNumberFormat="1" applyFont="1" applyFill="1" applyBorder="1" applyAlignment="1">
      <alignment horizontal="center"/>
    </xf>
    <xf numFmtId="164" fontId="3" fillId="7" borderId="27" xfId="1" applyNumberFormat="1" applyFont="1" applyFill="1" applyBorder="1" applyAlignment="1">
      <alignment horizontal="center"/>
    </xf>
    <xf numFmtId="164" fontId="4" fillId="7" borderId="28" xfId="1" applyNumberFormat="1" applyFont="1" applyFill="1" applyBorder="1"/>
    <xf numFmtId="164" fontId="4" fillId="7" borderId="21" xfId="1" applyNumberFormat="1" applyFont="1" applyFill="1" applyBorder="1"/>
    <xf numFmtId="164" fontId="3" fillId="7" borderId="20" xfId="1" applyNumberFormat="1" applyFont="1" applyFill="1" applyBorder="1"/>
    <xf numFmtId="164" fontId="0" fillId="2" borderId="5" xfId="1" applyNumberFormat="1" applyFont="1" applyFill="1" applyBorder="1" applyAlignment="1">
      <alignment vertical="top"/>
    </xf>
    <xf numFmtId="164" fontId="0" fillId="2" borderId="10" xfId="1" applyNumberFormat="1" applyFont="1" applyFill="1" applyBorder="1" applyAlignment="1">
      <alignment vertical="top"/>
    </xf>
    <xf numFmtId="164" fontId="0" fillId="2" borderId="34" xfId="1" applyNumberFormat="1" applyFont="1" applyFill="1" applyBorder="1" applyAlignment="1">
      <alignment horizontal="center" vertical="top"/>
    </xf>
    <xf numFmtId="164" fontId="0" fillId="2" borderId="5" xfId="1" applyNumberFormat="1" applyFont="1" applyFill="1" applyBorder="1" applyAlignment="1">
      <alignment horizontal="center" vertical="top"/>
    </xf>
    <xf numFmtId="164" fontId="0" fillId="2" borderId="35" xfId="1" applyNumberFormat="1" applyFont="1" applyFill="1" applyBorder="1" applyAlignment="1">
      <alignment horizontal="center" vertical="top"/>
    </xf>
    <xf numFmtId="164" fontId="0" fillId="2" borderId="56" xfId="1" applyNumberFormat="1" applyFont="1" applyFill="1" applyBorder="1" applyAlignment="1">
      <alignment vertical="top"/>
    </xf>
    <xf numFmtId="164" fontId="2" fillId="3" borderId="57" xfId="1" applyNumberFormat="1" applyFont="1" applyFill="1" applyBorder="1" applyAlignment="1">
      <alignment vertical="top"/>
    </xf>
    <xf numFmtId="164" fontId="2" fillId="3" borderId="58" xfId="1" applyNumberFormat="1" applyFont="1" applyFill="1" applyBorder="1" applyAlignment="1">
      <alignment vertical="top"/>
    </xf>
    <xf numFmtId="164" fontId="2" fillId="3" borderId="59" xfId="1" applyNumberFormat="1" applyFont="1" applyFill="1" applyBorder="1" applyAlignment="1">
      <alignment vertical="top"/>
    </xf>
    <xf numFmtId="164" fontId="2" fillId="3" borderId="60" xfId="1" applyNumberFormat="1" applyFont="1" applyFill="1" applyBorder="1" applyAlignment="1">
      <alignment vertical="top"/>
    </xf>
    <xf numFmtId="164" fontId="2" fillId="3" borderId="55" xfId="1" applyNumberFormat="1" applyFont="1" applyFill="1" applyBorder="1" applyAlignment="1">
      <alignment vertical="top"/>
    </xf>
    <xf numFmtId="164" fontId="0" fillId="2" borderId="10" xfId="1" applyNumberFormat="1" applyFont="1" applyFill="1" applyBorder="1" applyAlignment="1">
      <alignment horizontal="center" vertical="top"/>
    </xf>
    <xf numFmtId="164" fontId="3" fillId="7" borderId="5" xfId="1" applyNumberFormat="1" applyFont="1" applyFill="1" applyBorder="1"/>
    <xf numFmtId="164" fontId="3" fillId="7" borderId="10" xfId="1" applyNumberFormat="1" applyFont="1" applyFill="1" applyBorder="1"/>
    <xf numFmtId="164" fontId="3" fillId="7" borderId="34" xfId="1" applyNumberFormat="1" applyFont="1" applyFill="1" applyBorder="1" applyAlignment="1">
      <alignment horizontal="center"/>
    </xf>
    <xf numFmtId="164" fontId="3" fillId="7" borderId="5" xfId="1" applyNumberFormat="1" applyFont="1" applyFill="1" applyBorder="1" applyAlignment="1">
      <alignment horizontal="center"/>
    </xf>
    <xf numFmtId="164" fontId="3" fillId="7" borderId="35" xfId="1" applyNumberFormat="1" applyFont="1" applyFill="1" applyBorder="1" applyAlignment="1">
      <alignment horizontal="center"/>
    </xf>
    <xf numFmtId="164" fontId="2" fillId="3" borderId="58" xfId="1" applyNumberFormat="1" applyFont="1" applyFill="1" applyBorder="1" applyAlignment="1">
      <alignment vertical="top" wrapText="1"/>
    </xf>
    <xf numFmtId="164" fontId="2" fillId="3" borderId="63" xfId="1" applyNumberFormat="1" applyFont="1" applyFill="1" applyBorder="1" applyAlignment="1">
      <alignment vertical="top"/>
    </xf>
    <xf numFmtId="164" fontId="0" fillId="2" borderId="65" xfId="1" applyNumberFormat="1" applyFont="1" applyFill="1" applyBorder="1" applyAlignment="1">
      <alignment horizontal="left" vertical="top" wrapText="1"/>
    </xf>
    <xf numFmtId="164" fontId="0" fillId="2" borderId="66" xfId="1" applyNumberFormat="1" applyFont="1" applyFill="1" applyBorder="1" applyAlignment="1">
      <alignment horizontal="left" vertical="top" wrapText="1"/>
    </xf>
    <xf numFmtId="164" fontId="2" fillId="3" borderId="43" xfId="1" applyNumberFormat="1" applyFont="1" applyFill="1" applyBorder="1" applyAlignment="1">
      <alignment vertical="top"/>
    </xf>
    <xf numFmtId="164" fontId="0" fillId="2" borderId="72" xfId="1" applyNumberFormat="1" applyFont="1" applyFill="1" applyBorder="1" applyAlignment="1">
      <alignment horizontal="left" vertical="top" wrapText="1"/>
    </xf>
    <xf numFmtId="164" fontId="0" fillId="2" borderId="50" xfId="1" applyNumberFormat="1" applyFont="1" applyFill="1" applyBorder="1" applyAlignment="1">
      <alignment horizontal="left" vertical="top" wrapText="1"/>
    </xf>
    <xf numFmtId="164" fontId="0" fillId="2" borderId="70" xfId="1" applyNumberFormat="1" applyFont="1" applyFill="1" applyBorder="1" applyAlignment="1">
      <alignment horizontal="left" vertical="top" wrapText="1"/>
    </xf>
    <xf numFmtId="164" fontId="0" fillId="2" borderId="73" xfId="1" applyNumberFormat="1" applyFont="1" applyFill="1" applyBorder="1" applyAlignment="1">
      <alignment horizontal="left" vertical="top" wrapText="1"/>
    </xf>
    <xf numFmtId="164" fontId="0" fillId="2" borderId="74" xfId="1" applyNumberFormat="1" applyFont="1" applyFill="1" applyBorder="1" applyAlignment="1">
      <alignment horizontal="left" vertical="top" wrapText="1"/>
    </xf>
    <xf numFmtId="164" fontId="2" fillId="3" borderId="62" xfId="1" applyNumberFormat="1" applyFont="1" applyFill="1" applyBorder="1" applyAlignment="1">
      <alignment vertical="top"/>
    </xf>
    <xf numFmtId="164" fontId="0" fillId="2" borderId="31" xfId="1" applyNumberFormat="1" applyFont="1" applyFill="1" applyBorder="1" applyAlignment="1">
      <alignment horizontal="center" vertical="top"/>
    </xf>
    <xf numFmtId="164" fontId="0" fillId="2" borderId="20" xfId="1" applyNumberFormat="1" applyFont="1" applyFill="1" applyBorder="1" applyAlignment="1">
      <alignment vertical="top" wrapText="1"/>
    </xf>
    <xf numFmtId="164" fontId="0" fillId="2" borderId="33" xfId="1" applyNumberFormat="1" applyFont="1" applyFill="1" applyBorder="1" applyAlignment="1">
      <alignment vertical="top"/>
    </xf>
    <xf numFmtId="164" fontId="0" fillId="2" borderId="43" xfId="1" applyNumberFormat="1" applyFont="1" applyFill="1" applyBorder="1" applyAlignment="1">
      <alignment vertical="top"/>
    </xf>
    <xf numFmtId="164" fontId="0" fillId="2" borderId="70" xfId="1" applyNumberFormat="1" applyFont="1" applyFill="1" applyBorder="1" applyAlignment="1">
      <alignment vertical="top" wrapText="1"/>
    </xf>
    <xf numFmtId="164" fontId="0" fillId="2" borderId="41" xfId="1" applyNumberFormat="1" applyFont="1" applyFill="1" applyBorder="1" applyAlignment="1">
      <alignment vertical="top" wrapText="1"/>
    </xf>
    <xf numFmtId="164" fontId="0" fillId="2" borderId="12" xfId="1" applyNumberFormat="1" applyFont="1" applyFill="1" applyBorder="1" applyAlignment="1">
      <alignment vertical="top"/>
    </xf>
    <xf numFmtId="164" fontId="0" fillId="2" borderId="69" xfId="1" applyNumberFormat="1" applyFont="1" applyFill="1" applyBorder="1" applyAlignment="1">
      <alignment vertical="top" wrapText="1"/>
    </xf>
    <xf numFmtId="164" fontId="0" fillId="2" borderId="65" xfId="1" applyNumberFormat="1" applyFont="1" applyFill="1" applyBorder="1" applyAlignment="1">
      <alignment vertical="top" wrapText="1"/>
    </xf>
    <xf numFmtId="164" fontId="2" fillId="3" borderId="63" xfId="1" applyNumberFormat="1" applyFont="1" applyFill="1" applyBorder="1" applyAlignment="1">
      <alignment horizontal="left" vertical="top"/>
    </xf>
    <xf numFmtId="164" fontId="3" fillId="7" borderId="33" xfId="1" applyNumberFormat="1" applyFont="1" applyFill="1" applyBorder="1"/>
    <xf numFmtId="164" fontId="3" fillId="7" borderId="4" xfId="1" applyNumberFormat="1" applyFont="1" applyFill="1" applyBorder="1"/>
    <xf numFmtId="164" fontId="3" fillId="7" borderId="12" xfId="1" applyNumberFormat="1" applyFont="1" applyFill="1" applyBorder="1"/>
    <xf numFmtId="164" fontId="2" fillId="3" borderId="66" xfId="1" applyNumberFormat="1" applyFont="1" applyFill="1" applyBorder="1" applyAlignment="1">
      <alignment vertical="top" wrapText="1"/>
    </xf>
    <xf numFmtId="164" fontId="0" fillId="2" borderId="73" xfId="1" applyNumberFormat="1" applyFont="1" applyFill="1" applyBorder="1" applyAlignment="1">
      <alignment vertical="top" wrapText="1"/>
    </xf>
    <xf numFmtId="164" fontId="0" fillId="2" borderId="74" xfId="1" applyNumberFormat="1" applyFont="1" applyFill="1" applyBorder="1" applyAlignment="1">
      <alignment vertical="top" wrapText="1"/>
    </xf>
    <xf numFmtId="164" fontId="2" fillId="3" borderId="15" xfId="1" applyNumberFormat="1" applyFont="1" applyFill="1" applyBorder="1" applyAlignment="1">
      <alignment horizontal="left" vertical="top" wrapText="1"/>
    </xf>
    <xf numFmtId="164" fontId="3" fillId="7" borderId="69" xfId="1" applyNumberFormat="1" applyFont="1" applyFill="1" applyBorder="1" applyAlignment="1">
      <alignment wrapText="1"/>
    </xf>
    <xf numFmtId="164" fontId="3" fillId="7" borderId="70" xfId="1" applyNumberFormat="1" applyFont="1" applyFill="1" applyBorder="1" applyAlignment="1">
      <alignment wrapText="1"/>
    </xf>
    <xf numFmtId="164" fontId="3" fillId="7" borderId="74" xfId="1" applyNumberFormat="1" applyFont="1" applyFill="1" applyBorder="1" applyAlignment="1">
      <alignment wrapText="1"/>
    </xf>
    <xf numFmtId="164" fontId="2" fillId="3" borderId="15" xfId="1" applyNumberFormat="1" applyFont="1" applyFill="1" applyBorder="1" applyAlignment="1">
      <alignment vertical="top"/>
    </xf>
    <xf numFmtId="164" fontId="3" fillId="7" borderId="9" xfId="1" applyNumberFormat="1" applyFont="1" applyFill="1" applyBorder="1"/>
    <xf numFmtId="164" fontId="0" fillId="2" borderId="4" xfId="1" applyNumberFormat="1" applyFont="1" applyFill="1" applyBorder="1" applyAlignment="1">
      <alignment horizontal="center" vertical="top"/>
    </xf>
    <xf numFmtId="164" fontId="0" fillId="2" borderId="17" xfId="1" applyNumberFormat="1" applyFont="1" applyFill="1" applyBorder="1" applyAlignment="1">
      <alignment vertical="top"/>
    </xf>
    <xf numFmtId="164" fontId="0" fillId="2" borderId="19" xfId="1" applyNumberFormat="1" applyFont="1" applyFill="1" applyBorder="1" applyAlignment="1">
      <alignment vertical="top"/>
    </xf>
    <xf numFmtId="164" fontId="0" fillId="2" borderId="20" xfId="1" applyNumberFormat="1" applyFont="1" applyFill="1" applyBorder="1" applyAlignment="1">
      <alignment vertical="top"/>
    </xf>
    <xf numFmtId="164" fontId="0" fillId="2" borderId="21" xfId="1" applyNumberFormat="1" applyFont="1" applyFill="1" applyBorder="1" applyAlignment="1">
      <alignment vertical="top"/>
    </xf>
    <xf numFmtId="164" fontId="0" fillId="2" borderId="22" xfId="1" applyNumberFormat="1" applyFont="1" applyFill="1" applyBorder="1" applyAlignment="1">
      <alignment vertical="top"/>
    </xf>
    <xf numFmtId="164" fontId="0" fillId="2" borderId="24" xfId="1" applyNumberFormat="1" applyFont="1" applyFill="1" applyBorder="1" applyAlignment="1">
      <alignment vertical="top"/>
    </xf>
    <xf numFmtId="164" fontId="2" fillId="3" borderId="75" xfId="1" applyNumberFormat="1" applyFont="1" applyFill="1" applyBorder="1" applyAlignment="1">
      <alignment vertical="top"/>
    </xf>
    <xf numFmtId="164" fontId="2" fillId="3" borderId="41" xfId="1" applyNumberFormat="1" applyFont="1" applyFill="1" applyBorder="1" applyAlignment="1">
      <alignment vertical="top"/>
    </xf>
    <xf numFmtId="164" fontId="0" fillId="2" borderId="76" xfId="1" applyNumberFormat="1" applyFont="1" applyFill="1" applyBorder="1" applyAlignment="1">
      <alignment horizontal="center" vertical="top"/>
    </xf>
    <xf numFmtId="164" fontId="0" fillId="2" borderId="77" xfId="1" applyNumberFormat="1" applyFont="1" applyFill="1" applyBorder="1" applyAlignment="1">
      <alignment horizontal="center" vertical="top"/>
    </xf>
    <xf numFmtId="164" fontId="0" fillId="2" borderId="9" xfId="1" applyNumberFormat="1" applyFont="1" applyFill="1" applyBorder="1" applyAlignment="1">
      <alignment horizontal="center" vertical="top"/>
    </xf>
    <xf numFmtId="164" fontId="0" fillId="2" borderId="4" xfId="1" applyNumberFormat="1" applyFont="1" applyFill="1" applyBorder="1" applyAlignment="1">
      <alignment horizontal="center"/>
    </xf>
    <xf numFmtId="164" fontId="2" fillId="3" borderId="7" xfId="1" applyNumberFormat="1" applyFont="1" applyFill="1" applyBorder="1" applyAlignment="1">
      <alignment vertical="top"/>
    </xf>
    <xf numFmtId="164" fontId="2" fillId="3" borderId="44" xfId="1" applyNumberFormat="1" applyFont="1" applyFill="1" applyBorder="1" applyAlignment="1">
      <alignment vertical="top"/>
    </xf>
    <xf numFmtId="164" fontId="2" fillId="3" borderId="71" xfId="1" applyNumberFormat="1" applyFont="1" applyFill="1" applyBorder="1" applyAlignment="1">
      <alignment vertical="top"/>
    </xf>
    <xf numFmtId="164" fontId="2" fillId="3" borderId="72" xfId="1" applyNumberFormat="1" applyFont="1" applyFill="1" applyBorder="1" applyAlignment="1">
      <alignment vertical="top"/>
    </xf>
    <xf numFmtId="164" fontId="0" fillId="2" borderId="18" xfId="1" applyNumberFormat="1" applyFont="1" applyFill="1" applyBorder="1" applyAlignment="1">
      <alignment horizontal="center" vertical="center"/>
    </xf>
    <xf numFmtId="164" fontId="0" fillId="2" borderId="18" xfId="1" applyNumberFormat="1" applyFont="1" applyFill="1" applyBorder="1" applyAlignment="1">
      <alignment horizontal="center"/>
    </xf>
    <xf numFmtId="164" fontId="2" fillId="3" borderId="74" xfId="1" applyNumberFormat="1" applyFont="1" applyFill="1" applyBorder="1" applyAlignment="1">
      <alignment vertical="top"/>
    </xf>
    <xf numFmtId="164" fontId="0" fillId="2" borderId="5" xfId="1" applyNumberFormat="1" applyFont="1" applyFill="1" applyBorder="1" applyAlignment="1">
      <alignment horizontal="center" vertical="center"/>
    </xf>
    <xf numFmtId="164" fontId="2" fillId="3" borderId="66" xfId="1" applyNumberFormat="1" applyFont="1" applyFill="1" applyBorder="1" applyAlignment="1">
      <alignment vertical="top"/>
    </xf>
    <xf numFmtId="164" fontId="0" fillId="2" borderId="23" xfId="1" applyNumberFormat="1" applyFont="1" applyFill="1" applyBorder="1" applyAlignment="1">
      <alignment horizontal="center" vertical="center"/>
    </xf>
    <xf numFmtId="164" fontId="2" fillId="3" borderId="64" xfId="1" applyNumberFormat="1" applyFont="1" applyFill="1" applyBorder="1" applyAlignment="1">
      <alignment vertical="top"/>
    </xf>
    <xf numFmtId="164" fontId="2" fillId="3" borderId="25" xfId="1" applyNumberFormat="1" applyFont="1" applyFill="1" applyBorder="1" applyAlignment="1">
      <alignment vertical="top"/>
    </xf>
    <xf numFmtId="164" fontId="0" fillId="2" borderId="17" xfId="1" applyNumberFormat="1" applyFont="1" applyFill="1" applyBorder="1" applyAlignment="1">
      <alignment horizontal="center" vertical="center"/>
    </xf>
    <xf numFmtId="164" fontId="0" fillId="2" borderId="19" xfId="1" applyNumberFormat="1" applyFont="1" applyFill="1" applyBorder="1"/>
    <xf numFmtId="164" fontId="0" fillId="2" borderId="20" xfId="1" applyNumberFormat="1" applyFont="1" applyFill="1" applyBorder="1" applyAlignment="1">
      <alignment horizontal="center" vertical="center"/>
    </xf>
    <xf numFmtId="164" fontId="0" fillId="2" borderId="21" xfId="1" applyNumberFormat="1" applyFont="1" applyFill="1" applyBorder="1"/>
    <xf numFmtId="164" fontId="0" fillId="2" borderId="21" xfId="1" applyNumberFormat="1" applyFont="1" applyFill="1" applyBorder="1" applyAlignment="1">
      <alignment horizontal="center" vertical="center"/>
    </xf>
    <xf numFmtId="164" fontId="0" fillId="2" borderId="34" xfId="1" applyNumberFormat="1" applyFont="1" applyFill="1" applyBorder="1" applyAlignment="1">
      <alignment horizontal="center" vertical="center"/>
    </xf>
    <xf numFmtId="164" fontId="0" fillId="2" borderId="35" xfId="1" applyNumberFormat="1" applyFont="1" applyFill="1" applyBorder="1" applyAlignment="1">
      <alignment horizontal="center" vertical="center"/>
    </xf>
    <xf numFmtId="164" fontId="0" fillId="2" borderId="19" xfId="1" applyNumberFormat="1" applyFont="1" applyFill="1" applyBorder="1" applyAlignment="1">
      <alignment horizontal="center" vertical="center"/>
    </xf>
    <xf numFmtId="164" fontId="0" fillId="2" borderId="22" xfId="1" applyNumberFormat="1" applyFont="1" applyFill="1" applyBorder="1" applyAlignment="1">
      <alignment horizontal="center" vertical="center"/>
    </xf>
    <xf numFmtId="164" fontId="0" fillId="2" borderId="24" xfId="1" applyNumberFormat="1" applyFont="1" applyFill="1" applyBorder="1" applyAlignment="1">
      <alignment horizontal="center" vertical="center"/>
    </xf>
    <xf numFmtId="164" fontId="0" fillId="3" borderId="0" xfId="1" applyNumberFormat="1" applyFont="1" applyFill="1" applyAlignment="1">
      <alignment vertical="top" wrapText="1"/>
    </xf>
    <xf numFmtId="164" fontId="2" fillId="3" borderId="57" xfId="1" applyNumberFormat="1" applyFont="1" applyFill="1" applyBorder="1"/>
    <xf numFmtId="164" fontId="2" fillId="3" borderId="58" xfId="1" applyNumberFormat="1" applyFont="1" applyFill="1" applyBorder="1"/>
    <xf numFmtId="164" fontId="2" fillId="3" borderId="60" xfId="1" applyNumberFormat="1" applyFont="1" applyFill="1" applyBorder="1"/>
    <xf numFmtId="164" fontId="2" fillId="3" borderId="55" xfId="1" applyNumberFormat="1" applyFont="1" applyFill="1" applyBorder="1"/>
    <xf numFmtId="164" fontId="0" fillId="2" borderId="0" xfId="1" applyNumberFormat="1" applyFont="1" applyFill="1" applyAlignment="1">
      <alignment horizontal="left" vertical="top"/>
    </xf>
    <xf numFmtId="164" fontId="0" fillId="2" borderId="75" xfId="1" applyNumberFormat="1" applyFont="1" applyFill="1" applyBorder="1" applyAlignment="1">
      <alignment horizontal="left" vertical="top"/>
    </xf>
    <xf numFmtId="164" fontId="0" fillId="2" borderId="0" xfId="0" applyNumberFormat="1" applyFill="1"/>
    <xf numFmtId="164" fontId="0" fillId="2" borderId="0" xfId="1" applyNumberFormat="1" applyFont="1" applyFill="1" applyAlignment="1">
      <alignment horizontal="left" vertical="top" wrapText="1"/>
    </xf>
    <xf numFmtId="164" fontId="0" fillId="2" borderId="40" xfId="1" applyNumberFormat="1" applyFont="1" applyFill="1" applyBorder="1" applyAlignment="1">
      <alignment vertical="top" wrapText="1"/>
    </xf>
    <xf numFmtId="0" fontId="2" fillId="8" borderId="22" xfId="0" applyFont="1" applyFill="1" applyBorder="1" applyAlignment="1">
      <alignment vertical="center" wrapText="1"/>
    </xf>
    <xf numFmtId="164" fontId="0" fillId="2" borderId="0" xfId="1" applyNumberFormat="1" applyFont="1" applyFill="1" applyAlignment="1">
      <alignment vertical="top" wrapText="1"/>
    </xf>
    <xf numFmtId="164" fontId="3" fillId="9" borderId="0" xfId="1" applyNumberFormat="1" applyFont="1" applyFill="1" applyAlignment="1">
      <alignment vertical="top" wrapText="1"/>
    </xf>
    <xf numFmtId="0" fontId="2" fillId="2" borderId="1" xfId="0" applyFont="1" applyFill="1" applyBorder="1" applyAlignment="1">
      <alignment horizontal="center"/>
    </xf>
    <xf numFmtId="3" fontId="0" fillId="2" borderId="1" xfId="0" applyNumberFormat="1" applyFill="1" applyBorder="1"/>
    <xf numFmtId="164" fontId="2" fillId="2" borderId="1" xfId="1" applyNumberFormat="1" applyFont="1" applyFill="1" applyBorder="1" applyAlignment="1">
      <alignment horizontal="center"/>
    </xf>
    <xf numFmtId="164" fontId="2" fillId="2" borderId="1" xfId="1" applyNumberFormat="1" applyFont="1" applyFill="1" applyBorder="1"/>
    <xf numFmtId="164" fontId="2" fillId="2" borderId="4" xfId="1" applyNumberFormat="1" applyFont="1" applyFill="1" applyBorder="1" applyAlignment="1">
      <alignment horizontal="center"/>
    </xf>
    <xf numFmtId="164" fontId="0" fillId="2" borderId="4" xfId="1" applyNumberFormat="1" applyFont="1" applyFill="1" applyBorder="1"/>
    <xf numFmtId="0" fontId="2" fillId="2" borderId="20" xfId="0" applyFont="1" applyFill="1" applyBorder="1" applyAlignment="1">
      <alignment horizontal="center" vertical="center" wrapText="1"/>
    </xf>
    <xf numFmtId="0" fontId="2" fillId="2" borderId="21" xfId="0" applyFont="1" applyFill="1" applyBorder="1" applyAlignment="1">
      <alignment horizontal="center"/>
    </xf>
    <xf numFmtId="0" fontId="0" fillId="2" borderId="21" xfId="0" applyFill="1" applyBorder="1"/>
    <xf numFmtId="164" fontId="3" fillId="9" borderId="20" xfId="1" applyNumberFormat="1" applyFont="1" applyFill="1" applyBorder="1" applyAlignment="1">
      <alignment vertical="top" wrapText="1"/>
    </xf>
    <xf numFmtId="0" fontId="0" fillId="2" borderId="20" xfId="0" applyFill="1" applyBorder="1" applyAlignment="1">
      <alignment wrapText="1"/>
    </xf>
    <xf numFmtId="164" fontId="0" fillId="2" borderId="21" xfId="0" applyNumberFormat="1" applyFill="1" applyBorder="1"/>
    <xf numFmtId="164" fontId="0" fillId="2" borderId="20" xfId="1" applyNumberFormat="1" applyFont="1" applyFill="1" applyBorder="1" applyAlignment="1">
      <alignment horizontal="left" vertical="top" wrapText="1"/>
    </xf>
    <xf numFmtId="164" fontId="0" fillId="2" borderId="22" xfId="0" applyNumberFormat="1" applyFill="1" applyBorder="1"/>
    <xf numFmtId="164" fontId="0" fillId="2" borderId="23" xfId="0" applyNumberFormat="1" applyFill="1" applyBorder="1"/>
    <xf numFmtId="164" fontId="0" fillId="2" borderId="24" xfId="0" applyNumberFormat="1" applyFill="1" applyBorder="1"/>
    <xf numFmtId="164" fontId="0" fillId="2" borderId="20" xfId="1" applyNumberFormat="1" applyFont="1" applyFill="1" applyBorder="1"/>
    <xf numFmtId="164" fontId="0" fillId="2" borderId="23" xfId="1" applyNumberFormat="1" applyFont="1" applyFill="1" applyBorder="1"/>
    <xf numFmtId="0" fontId="2" fillId="2" borderId="2" xfId="0" applyFont="1" applyFill="1" applyBorder="1" applyAlignment="1">
      <alignment horizontal="center"/>
    </xf>
    <xf numFmtId="164" fontId="2" fillId="2" borderId="20" xfId="1" applyNumberFormat="1" applyFont="1" applyFill="1" applyBorder="1"/>
    <xf numFmtId="0" fontId="0" fillId="2" borderId="20" xfId="0" applyFill="1" applyBorder="1"/>
    <xf numFmtId="164" fontId="0" fillId="2" borderId="20" xfId="0" applyNumberFormat="1" applyFill="1" applyBorder="1"/>
    <xf numFmtId="0" fontId="0" fillId="2" borderId="2" xfId="0" applyFill="1" applyBorder="1"/>
    <xf numFmtId="164" fontId="0" fillId="2" borderId="36" xfId="0" applyNumberFormat="1" applyFill="1" applyBorder="1"/>
    <xf numFmtId="164" fontId="0" fillId="2" borderId="43" xfId="1" applyNumberFormat="1" applyFont="1" applyFill="1" applyBorder="1"/>
    <xf numFmtId="164" fontId="0" fillId="2" borderId="80" xfId="1" applyNumberFormat="1" applyFont="1" applyFill="1" applyBorder="1" applyAlignment="1">
      <alignment vertical="top" wrapText="1"/>
    </xf>
    <xf numFmtId="164" fontId="0" fillId="2" borderId="80" xfId="1" applyNumberFormat="1" applyFont="1" applyFill="1" applyBorder="1" applyAlignment="1">
      <alignment horizontal="left" vertical="top" wrapText="1"/>
    </xf>
    <xf numFmtId="164" fontId="0" fillId="2" borderId="70" xfId="1" applyNumberFormat="1" applyFont="1" applyFill="1" applyBorder="1" applyAlignment="1">
      <alignment vertical="top"/>
    </xf>
    <xf numFmtId="164" fontId="3" fillId="9" borderId="80" xfId="1" applyNumberFormat="1" applyFont="1" applyFill="1" applyBorder="1" applyAlignment="1">
      <alignment vertical="top" wrapText="1"/>
    </xf>
    <xf numFmtId="164" fontId="0" fillId="2" borderId="42" xfId="1" applyNumberFormat="1" applyFont="1" applyFill="1" applyBorder="1" applyAlignment="1">
      <alignment vertical="top" wrapText="1"/>
    </xf>
    <xf numFmtId="164" fontId="0" fillId="2" borderId="46" xfId="1" applyNumberFormat="1" applyFont="1" applyFill="1" applyBorder="1" applyAlignment="1">
      <alignment vertical="top" wrapText="1"/>
    </xf>
    <xf numFmtId="0" fontId="2" fillId="8" borderId="23" xfId="0" applyFont="1" applyFill="1" applyBorder="1" applyAlignment="1">
      <alignment vertical="center"/>
    </xf>
    <xf numFmtId="0" fontId="2" fillId="8" borderId="31" xfId="0" applyFont="1" applyFill="1" applyBorder="1"/>
    <xf numFmtId="164" fontId="2" fillId="8" borderId="41" xfId="1" applyNumberFormat="1" applyFont="1" applyFill="1" applyBorder="1" applyAlignment="1">
      <alignment vertical="center"/>
    </xf>
    <xf numFmtId="0" fontId="6" fillId="0" borderId="1" xfId="0" applyFont="1" applyBorder="1" applyAlignment="1" applyProtection="1">
      <alignment horizontal="left" vertical="center" wrapText="1"/>
      <protection locked="0"/>
    </xf>
    <xf numFmtId="164" fontId="5" fillId="7" borderId="70" xfId="1" applyNumberFormat="1" applyFont="1" applyFill="1" applyBorder="1" applyAlignment="1">
      <alignment vertical="top" wrapText="1"/>
    </xf>
    <xf numFmtId="164" fontId="5" fillId="7" borderId="4" xfId="1" applyNumberFormat="1" applyFont="1" applyFill="1" applyBorder="1"/>
    <xf numFmtId="0" fontId="7" fillId="10" borderId="26" xfId="0" applyFont="1" applyFill="1" applyBorder="1" applyAlignment="1" applyProtection="1">
      <alignment horizontal="left" vertical="center" wrapText="1"/>
      <protection locked="0"/>
    </xf>
    <xf numFmtId="164" fontId="2" fillId="10" borderId="50" xfId="1" applyNumberFormat="1" applyFont="1" applyFill="1" applyBorder="1" applyAlignment="1">
      <alignment vertical="top"/>
    </xf>
    <xf numFmtId="164" fontId="2" fillId="0" borderId="50" xfId="1" applyNumberFormat="1" applyFont="1" applyBorder="1" applyAlignment="1">
      <alignment vertical="top"/>
    </xf>
    <xf numFmtId="164" fontId="5" fillId="0" borderId="74" xfId="1" applyNumberFormat="1" applyFont="1" applyBorder="1" applyAlignment="1">
      <alignment vertical="top" wrapText="1"/>
    </xf>
    <xf numFmtId="164" fontId="5" fillId="0" borderId="0" xfId="1" applyNumberFormat="1" applyFont="1"/>
    <xf numFmtId="164" fontId="0" fillId="0" borderId="65" xfId="1" applyNumberFormat="1" applyFont="1" applyBorder="1" applyAlignment="1">
      <alignment vertical="top" wrapText="1"/>
    </xf>
    <xf numFmtId="164" fontId="0" fillId="0" borderId="0" xfId="1" applyNumberFormat="1" applyFont="1" applyAlignment="1">
      <alignment vertical="top"/>
    </xf>
    <xf numFmtId="164" fontId="0" fillId="10" borderId="46" xfId="1" applyNumberFormat="1" applyFont="1" applyFill="1" applyBorder="1" applyAlignment="1">
      <alignment vertical="top"/>
    </xf>
    <xf numFmtId="164" fontId="0" fillId="10" borderId="4" xfId="1" applyNumberFormat="1" applyFont="1" applyFill="1" applyBorder="1" applyAlignment="1">
      <alignment vertical="top"/>
    </xf>
    <xf numFmtId="164" fontId="0" fillId="10" borderId="1" xfId="1" applyNumberFormat="1" applyFont="1" applyFill="1" applyBorder="1" applyAlignment="1">
      <alignment horizontal="center" vertical="top"/>
    </xf>
    <xf numFmtId="164" fontId="2" fillId="10" borderId="69" xfId="1" applyNumberFormat="1" applyFont="1" applyFill="1" applyBorder="1" applyAlignment="1">
      <alignment vertical="top" wrapText="1"/>
    </xf>
    <xf numFmtId="164" fontId="0" fillId="10" borderId="46" xfId="1" applyNumberFormat="1" applyFont="1" applyFill="1" applyBorder="1" applyAlignment="1">
      <alignment vertical="top" wrapText="1"/>
    </xf>
    <xf numFmtId="164" fontId="0" fillId="0" borderId="46" xfId="1" applyNumberFormat="1" applyFont="1" applyBorder="1" applyAlignment="1">
      <alignment vertical="top"/>
    </xf>
    <xf numFmtId="164" fontId="0" fillId="0" borderId="4" xfId="1" applyNumberFormat="1" applyFont="1" applyBorder="1" applyAlignment="1">
      <alignment vertical="top"/>
    </xf>
    <xf numFmtId="164" fontId="0" fillId="0" borderId="1" xfId="1" applyNumberFormat="1" applyFont="1" applyBorder="1" applyAlignment="1">
      <alignment horizontal="center" vertical="top"/>
    </xf>
    <xf numFmtId="0" fontId="5" fillId="12" borderId="66" xfId="0" applyFont="1" applyFill="1" applyBorder="1" applyAlignment="1">
      <alignment vertical="center" wrapText="1"/>
    </xf>
    <xf numFmtId="164" fontId="0" fillId="10" borderId="20" xfId="1" applyNumberFormat="1" applyFont="1" applyFill="1" applyBorder="1" applyAlignment="1">
      <alignment vertical="top"/>
    </xf>
    <xf numFmtId="164" fontId="0" fillId="10" borderId="70" xfId="1" applyNumberFormat="1" applyFont="1" applyFill="1" applyBorder="1" applyAlignment="1">
      <alignment vertical="top"/>
    </xf>
    <xf numFmtId="164" fontId="0" fillId="0" borderId="46" xfId="1" applyNumberFormat="1" applyFont="1" applyBorder="1" applyAlignment="1">
      <alignment vertical="top" wrapText="1"/>
    </xf>
    <xf numFmtId="164" fontId="0" fillId="0" borderId="20" xfId="1" applyNumberFormat="1" applyFont="1" applyBorder="1" applyAlignment="1">
      <alignment vertical="top"/>
    </xf>
    <xf numFmtId="164" fontId="0" fillId="0" borderId="70" xfId="1" applyNumberFormat="1" applyFont="1" applyBorder="1" applyAlignment="1">
      <alignment vertical="top"/>
    </xf>
    <xf numFmtId="0" fontId="2" fillId="13" borderId="37" xfId="0" applyFont="1" applyFill="1" applyBorder="1"/>
    <xf numFmtId="0" fontId="2" fillId="13" borderId="39" xfId="0" applyFont="1" applyFill="1" applyBorder="1"/>
    <xf numFmtId="164" fontId="2" fillId="0" borderId="72" xfId="1" applyNumberFormat="1" applyFont="1" applyBorder="1" applyAlignment="1">
      <alignment vertical="top"/>
    </xf>
    <xf numFmtId="0" fontId="11" fillId="0" borderId="0" xfId="0" applyFont="1"/>
    <xf numFmtId="164" fontId="2" fillId="10" borderId="75" xfId="1" applyNumberFormat="1" applyFont="1" applyFill="1" applyBorder="1" applyAlignment="1">
      <alignment vertical="top"/>
    </xf>
    <xf numFmtId="164" fontId="2" fillId="10" borderId="72" xfId="1" applyNumberFormat="1" applyFont="1" applyFill="1" applyBorder="1" applyAlignment="1">
      <alignment vertical="top"/>
    </xf>
    <xf numFmtId="164" fontId="5" fillId="7" borderId="4" xfId="1" applyNumberFormat="1" applyFont="1" applyFill="1" applyBorder="1" applyAlignment="1">
      <alignment horizontal="center"/>
    </xf>
    <xf numFmtId="164" fontId="0" fillId="0" borderId="68" xfId="1" applyNumberFormat="1" applyFont="1" applyBorder="1" applyAlignment="1">
      <alignment vertical="top" wrapText="1"/>
    </xf>
    <xf numFmtId="164" fontId="2" fillId="0" borderId="55" xfId="1" applyNumberFormat="1" applyFont="1" applyBorder="1" applyAlignment="1">
      <alignment vertical="top"/>
    </xf>
    <xf numFmtId="164" fontId="0" fillId="0" borderId="53" xfId="1" applyNumberFormat="1" applyFont="1" applyBorder="1" applyAlignment="1">
      <alignment vertical="top"/>
    </xf>
    <xf numFmtId="164" fontId="0" fillId="0" borderId="37" xfId="1" applyNumberFormat="1" applyFont="1" applyBorder="1" applyAlignment="1">
      <alignment vertical="top" wrapText="1"/>
    </xf>
    <xf numFmtId="164" fontId="2" fillId="0" borderId="39" xfId="1" applyNumberFormat="1" applyFont="1" applyBorder="1" applyAlignment="1">
      <alignment vertical="top"/>
    </xf>
    <xf numFmtId="164" fontId="0" fillId="0" borderId="51" xfId="1" applyNumberFormat="1" applyFont="1" applyBorder="1" applyAlignment="1">
      <alignment vertical="top" wrapText="1"/>
    </xf>
    <xf numFmtId="164" fontId="0" fillId="0" borderId="33" xfId="1" applyNumberFormat="1" applyFont="1" applyBorder="1" applyAlignment="1">
      <alignment vertical="top"/>
    </xf>
    <xf numFmtId="164" fontId="0" fillId="0" borderId="18" xfId="1" applyNumberFormat="1" applyFont="1" applyBorder="1" applyAlignment="1">
      <alignment horizontal="center" vertical="top"/>
    </xf>
    <xf numFmtId="164" fontId="0" fillId="13" borderId="75" xfId="1" applyNumberFormat="1" applyFont="1" applyFill="1" applyBorder="1" applyAlignment="1">
      <alignment vertical="top" wrapText="1"/>
    </xf>
    <xf numFmtId="164" fontId="2" fillId="13" borderId="75" xfId="1" applyNumberFormat="1" applyFont="1" applyFill="1" applyBorder="1" applyAlignment="1">
      <alignment vertical="top"/>
    </xf>
    <xf numFmtId="164" fontId="2" fillId="13" borderId="50" xfId="1" applyNumberFormat="1" applyFont="1" applyFill="1" applyBorder="1" applyAlignment="1">
      <alignment vertical="top"/>
    </xf>
    <xf numFmtId="0" fontId="12" fillId="8" borderId="29" xfId="0" applyFont="1" applyFill="1" applyBorder="1" applyAlignment="1">
      <alignment vertical="center" wrapText="1"/>
    </xf>
    <xf numFmtId="0" fontId="12" fillId="8" borderId="30" xfId="0" applyFont="1" applyFill="1" applyBorder="1" applyAlignment="1">
      <alignment vertical="center"/>
    </xf>
    <xf numFmtId="0" fontId="12" fillId="8" borderId="38" xfId="0" applyFont="1" applyFill="1" applyBorder="1"/>
    <xf numFmtId="0" fontId="12" fillId="8" borderId="32" xfId="0" applyFont="1" applyFill="1" applyBorder="1"/>
    <xf numFmtId="164" fontId="12" fillId="8" borderId="40" xfId="1" applyNumberFormat="1" applyFont="1" applyFill="1" applyBorder="1" applyAlignment="1">
      <alignment vertical="center"/>
    </xf>
    <xf numFmtId="0" fontId="12" fillId="8" borderId="22" xfId="0" applyFont="1" applyFill="1" applyBorder="1" applyAlignment="1">
      <alignment horizontal="center" vertical="center"/>
    </xf>
    <xf numFmtId="0" fontId="12" fillId="8" borderId="43" xfId="0" applyFont="1" applyFill="1" applyBorder="1" applyAlignment="1">
      <alignment horizontal="center" vertical="center"/>
    </xf>
    <xf numFmtId="0" fontId="12" fillId="8" borderId="23" xfId="0" applyFont="1" applyFill="1" applyBorder="1" applyAlignment="1">
      <alignment horizontal="center" vertical="center"/>
    </xf>
    <xf numFmtId="0" fontId="12" fillId="13" borderId="42" xfId="0" applyFont="1" applyFill="1" applyBorder="1" applyAlignment="1">
      <alignment wrapText="1"/>
    </xf>
    <xf numFmtId="0" fontId="12" fillId="13" borderId="1" xfId="0" applyFont="1" applyFill="1" applyBorder="1" applyAlignment="1" applyProtection="1">
      <alignment horizontal="left" vertical="center" wrapText="1"/>
      <protection locked="0"/>
    </xf>
    <xf numFmtId="0" fontId="0" fillId="0" borderId="66" xfId="0" applyBorder="1" applyAlignment="1">
      <alignment vertical="center" wrapText="1"/>
    </xf>
    <xf numFmtId="164" fontId="0" fillId="13" borderId="46" xfId="1" applyNumberFormat="1" applyFont="1" applyFill="1" applyBorder="1" applyAlignment="1">
      <alignment vertical="top" wrapText="1"/>
    </xf>
    <xf numFmtId="164" fontId="0" fillId="13" borderId="20" xfId="1" applyNumberFormat="1" applyFont="1" applyFill="1" applyBorder="1" applyAlignment="1">
      <alignment vertical="top"/>
    </xf>
    <xf numFmtId="164" fontId="0" fillId="13" borderId="4" xfId="1" applyNumberFormat="1" applyFont="1" applyFill="1" applyBorder="1" applyAlignment="1">
      <alignment vertical="top"/>
    </xf>
    <xf numFmtId="164" fontId="0" fillId="13" borderId="1" xfId="1" applyNumberFormat="1" applyFont="1" applyFill="1" applyBorder="1" applyAlignment="1">
      <alignment horizontal="center" vertical="top"/>
    </xf>
    <xf numFmtId="164" fontId="0" fillId="13" borderId="70" xfId="1" applyNumberFormat="1" applyFont="1" applyFill="1" applyBorder="1" applyAlignment="1">
      <alignment vertical="top"/>
    </xf>
    <xf numFmtId="0" fontId="9" fillId="13" borderId="66" xfId="0" applyFont="1" applyFill="1" applyBorder="1" applyAlignment="1">
      <alignment vertical="center" wrapText="1"/>
    </xf>
    <xf numFmtId="164" fontId="2" fillId="0" borderId="61" xfId="1" applyNumberFormat="1" applyFont="1" applyBorder="1" applyAlignment="1">
      <alignment vertical="top"/>
    </xf>
    <xf numFmtId="164" fontId="2" fillId="10" borderId="61" xfId="1" applyNumberFormat="1" applyFont="1" applyFill="1" applyBorder="1" applyAlignment="1">
      <alignment vertical="top"/>
    </xf>
    <xf numFmtId="0" fontId="0" fillId="10" borderId="0" xfId="0" applyFill="1" applyAlignment="1">
      <alignment vertical="top"/>
    </xf>
    <xf numFmtId="0" fontId="0" fillId="13" borderId="0" xfId="0" applyFill="1" applyAlignment="1">
      <alignment vertical="top"/>
    </xf>
    <xf numFmtId="164" fontId="9" fillId="13" borderId="69" xfId="1" applyNumberFormat="1" applyFont="1" applyFill="1" applyBorder="1" applyAlignment="1">
      <alignment vertical="top" wrapText="1"/>
    </xf>
    <xf numFmtId="0" fontId="2" fillId="10" borderId="0" xfId="0" applyFont="1" applyFill="1"/>
    <xf numFmtId="0" fontId="2" fillId="10" borderId="25" xfId="0" applyFont="1" applyFill="1" applyBorder="1"/>
    <xf numFmtId="0" fontId="2" fillId="10" borderId="72" xfId="0" applyFont="1" applyFill="1" applyBorder="1"/>
    <xf numFmtId="0" fontId="0" fillId="10" borderId="0" xfId="0" applyFill="1"/>
    <xf numFmtId="0" fontId="10" fillId="10" borderId="52" xfId="0" applyFont="1" applyFill="1" applyBorder="1" applyAlignment="1">
      <alignment wrapText="1"/>
    </xf>
    <xf numFmtId="164" fontId="0" fillId="10" borderId="65" xfId="1" applyNumberFormat="1" applyFont="1" applyFill="1" applyBorder="1" applyAlignment="1">
      <alignment vertical="top" wrapText="1"/>
    </xf>
    <xf numFmtId="164" fontId="0" fillId="10" borderId="0" xfId="1" applyNumberFormat="1" applyFont="1" applyFill="1" applyAlignment="1">
      <alignment vertical="top"/>
    </xf>
    <xf numFmtId="164" fontId="0" fillId="10" borderId="52" xfId="1" applyNumberFormat="1" applyFont="1" applyFill="1" applyBorder="1" applyAlignment="1">
      <alignment horizontal="center" vertical="top"/>
    </xf>
    <xf numFmtId="164" fontId="0" fillId="10" borderId="0" xfId="1" applyNumberFormat="1" applyFont="1" applyFill="1" applyAlignment="1">
      <alignment horizontal="center" vertical="top"/>
    </xf>
    <xf numFmtId="164" fontId="2" fillId="10" borderId="40" xfId="1" applyNumberFormat="1" applyFont="1" applyFill="1" applyBorder="1" applyAlignment="1">
      <alignment vertical="top" wrapText="1"/>
    </xf>
    <xf numFmtId="164" fontId="5" fillId="11" borderId="70" xfId="1" applyNumberFormat="1" applyFont="1" applyFill="1" applyBorder="1" applyAlignment="1">
      <alignment vertical="top" wrapText="1"/>
    </xf>
    <xf numFmtId="164" fontId="5" fillId="11" borderId="4" xfId="1" applyNumberFormat="1" applyFont="1" applyFill="1" applyBorder="1"/>
    <xf numFmtId="164" fontId="5" fillId="11" borderId="20" xfId="1" applyNumberFormat="1" applyFont="1" applyFill="1" applyBorder="1" applyAlignment="1">
      <alignment horizontal="center"/>
    </xf>
    <xf numFmtId="164" fontId="5" fillId="11" borderId="4" xfId="1" applyNumberFormat="1" applyFont="1" applyFill="1" applyBorder="1" applyAlignment="1">
      <alignment horizontal="center"/>
    </xf>
    <xf numFmtId="164" fontId="5" fillId="11" borderId="1" xfId="1" applyNumberFormat="1" applyFont="1" applyFill="1" applyBorder="1" applyAlignment="1">
      <alignment horizontal="center"/>
    </xf>
    <xf numFmtId="164" fontId="0" fillId="10" borderId="75" xfId="1" applyNumberFormat="1" applyFont="1" applyFill="1" applyBorder="1" applyAlignment="1">
      <alignment vertical="top" wrapText="1"/>
    </xf>
    <xf numFmtId="0" fontId="10" fillId="10" borderId="1" xfId="0" applyFont="1" applyFill="1" applyBorder="1" applyAlignment="1" applyProtection="1">
      <alignment horizontal="left" vertical="center" wrapText="1"/>
      <protection locked="0"/>
    </xf>
    <xf numFmtId="164" fontId="2" fillId="10" borderId="0" xfId="1" applyNumberFormat="1" applyFont="1" applyFill="1" applyAlignment="1">
      <alignment vertical="top"/>
    </xf>
    <xf numFmtId="164" fontId="2" fillId="10" borderId="25" xfId="1" applyNumberFormat="1" applyFont="1" applyFill="1" applyBorder="1" applyAlignment="1">
      <alignment vertical="top"/>
    </xf>
    <xf numFmtId="0" fontId="7" fillId="10" borderId="1" xfId="0" applyFont="1" applyFill="1" applyBorder="1" applyAlignment="1" applyProtection="1">
      <alignment horizontal="left" vertical="center" wrapText="1"/>
      <protection locked="0"/>
    </xf>
    <xf numFmtId="164" fontId="0" fillId="10" borderId="12" xfId="1" applyNumberFormat="1" applyFont="1" applyFill="1" applyBorder="1" applyAlignment="1">
      <alignment vertical="top"/>
    </xf>
    <xf numFmtId="164" fontId="0" fillId="10" borderId="5" xfId="1" applyNumberFormat="1" applyFont="1" applyFill="1" applyBorder="1" applyAlignment="1">
      <alignment horizontal="center" vertical="top"/>
    </xf>
    <xf numFmtId="0" fontId="10" fillId="10" borderId="66" xfId="0" applyFont="1" applyFill="1" applyBorder="1" applyAlignment="1">
      <alignment vertical="center" wrapText="1"/>
    </xf>
    <xf numFmtId="0" fontId="2" fillId="10" borderId="66" xfId="0" applyFont="1" applyFill="1" applyBorder="1" applyAlignment="1">
      <alignment vertical="center" wrapText="1"/>
    </xf>
    <xf numFmtId="164" fontId="2" fillId="14" borderId="61" xfId="1" applyNumberFormat="1" applyFont="1" applyFill="1" applyBorder="1" applyAlignment="1">
      <alignment vertical="top"/>
    </xf>
    <xf numFmtId="164" fontId="0" fillId="14" borderId="46" xfId="1" applyNumberFormat="1" applyFont="1" applyFill="1" applyBorder="1" applyAlignment="1">
      <alignment vertical="top" wrapText="1"/>
    </xf>
    <xf numFmtId="164" fontId="0" fillId="14" borderId="20" xfId="1" applyNumberFormat="1" applyFont="1" applyFill="1" applyBorder="1" applyAlignment="1">
      <alignment vertical="top"/>
    </xf>
    <xf numFmtId="164" fontId="0" fillId="14" borderId="4" xfId="1" applyNumberFormat="1" applyFont="1" applyFill="1" applyBorder="1" applyAlignment="1">
      <alignment vertical="top"/>
    </xf>
    <xf numFmtId="164" fontId="0" fillId="14" borderId="1" xfId="1" applyNumberFormat="1" applyFont="1" applyFill="1" applyBorder="1" applyAlignment="1">
      <alignment horizontal="center" vertical="top"/>
    </xf>
    <xf numFmtId="164" fontId="0" fillId="14" borderId="70" xfId="1" applyNumberFormat="1" applyFont="1" applyFill="1" applyBorder="1" applyAlignment="1">
      <alignment vertical="top"/>
    </xf>
    <xf numFmtId="0" fontId="0" fillId="14" borderId="0" xfId="0" applyFill="1" applyAlignment="1">
      <alignment vertical="top"/>
    </xf>
    <xf numFmtId="0" fontId="10" fillId="10" borderId="42" xfId="0" applyFont="1" applyFill="1" applyBorder="1" applyAlignment="1">
      <alignment wrapText="1"/>
    </xf>
    <xf numFmtId="0" fontId="8" fillId="10" borderId="66" xfId="0" applyFont="1" applyFill="1" applyBorder="1" applyAlignment="1">
      <alignment vertical="center" wrapText="1"/>
    </xf>
    <xf numFmtId="164" fontId="2" fillId="15" borderId="40" xfId="1" applyNumberFormat="1" applyFont="1" applyFill="1" applyBorder="1" applyAlignment="1">
      <alignment vertical="top" wrapText="1"/>
    </xf>
    <xf numFmtId="164" fontId="0" fillId="15" borderId="65" xfId="1" applyNumberFormat="1" applyFont="1" applyFill="1" applyBorder="1" applyAlignment="1">
      <alignment vertical="top" wrapText="1"/>
    </xf>
    <xf numFmtId="164" fontId="0" fillId="15" borderId="0" xfId="1" applyNumberFormat="1" applyFont="1" applyFill="1" applyAlignment="1">
      <alignment vertical="top"/>
    </xf>
    <xf numFmtId="164" fontId="0" fillId="15" borderId="0" xfId="1" applyNumberFormat="1" applyFont="1" applyFill="1" applyAlignment="1">
      <alignment horizontal="center" vertical="top"/>
    </xf>
    <xf numFmtId="0" fontId="0" fillId="15" borderId="0" xfId="0" applyFill="1" applyAlignment="1">
      <alignment vertical="top"/>
    </xf>
    <xf numFmtId="164" fontId="5" fillId="16" borderId="70" xfId="1" applyNumberFormat="1" applyFont="1" applyFill="1" applyBorder="1" applyAlignment="1">
      <alignment vertical="top" wrapText="1"/>
    </xf>
    <xf numFmtId="164" fontId="5" fillId="16" borderId="4" xfId="1" applyNumberFormat="1" applyFont="1" applyFill="1" applyBorder="1"/>
    <xf numFmtId="164" fontId="5" fillId="15" borderId="20" xfId="1" applyNumberFormat="1" applyFont="1" applyFill="1" applyBorder="1" applyAlignment="1">
      <alignment horizontal="center"/>
    </xf>
    <xf numFmtId="164" fontId="5" fillId="15" borderId="4" xfId="1" applyNumberFormat="1" applyFont="1" applyFill="1" applyBorder="1" applyAlignment="1">
      <alignment horizontal="center"/>
    </xf>
    <xf numFmtId="164" fontId="5" fillId="15" borderId="1" xfId="1" applyNumberFormat="1" applyFont="1" applyFill="1" applyBorder="1" applyAlignment="1">
      <alignment horizontal="center"/>
    </xf>
    <xf numFmtId="164" fontId="0" fillId="15" borderId="46" xfId="1" applyNumberFormat="1" applyFont="1" applyFill="1" applyBorder="1" applyAlignment="1">
      <alignment vertical="top"/>
    </xf>
    <xf numFmtId="164" fontId="5" fillId="15" borderId="74" xfId="1" applyNumberFormat="1" applyFont="1" applyFill="1" applyBorder="1" applyAlignment="1">
      <alignment vertical="top" wrapText="1"/>
    </xf>
    <xf numFmtId="164" fontId="5" fillId="15" borderId="0" xfId="1" applyNumberFormat="1" applyFont="1" applyFill="1"/>
    <xf numFmtId="164" fontId="5" fillId="15" borderId="52" xfId="1" applyNumberFormat="1" applyFont="1" applyFill="1" applyBorder="1" applyAlignment="1">
      <alignment horizontal="center"/>
    </xf>
    <xf numFmtId="164" fontId="5" fillId="15" borderId="0" xfId="1" applyNumberFormat="1" applyFont="1" applyFill="1" applyAlignment="1">
      <alignment horizontal="center"/>
    </xf>
    <xf numFmtId="164" fontId="2" fillId="15" borderId="0" xfId="1" applyNumberFormat="1" applyFont="1" applyFill="1" applyAlignment="1">
      <alignment vertical="top" wrapText="1"/>
    </xf>
    <xf numFmtId="164" fontId="1" fillId="0" borderId="0" xfId="1" applyNumberFormat="1" applyAlignment="1">
      <alignment horizontal="center" vertical="top"/>
    </xf>
    <xf numFmtId="164" fontId="1" fillId="0" borderId="54" xfId="1" applyNumberFormat="1" applyBorder="1" applyAlignment="1">
      <alignment vertical="top"/>
    </xf>
    <xf numFmtId="164" fontId="1" fillId="0" borderId="37" xfId="1" applyNumberFormat="1" applyBorder="1" applyAlignment="1">
      <alignment vertical="top"/>
    </xf>
    <xf numFmtId="0" fontId="6" fillId="15" borderId="1" xfId="0" applyFont="1" applyFill="1" applyBorder="1" applyAlignment="1" applyProtection="1">
      <alignment horizontal="left" vertical="center" wrapText="1"/>
      <protection locked="0"/>
    </xf>
    <xf numFmtId="164" fontId="2" fillId="15" borderId="0" xfId="1" applyNumberFormat="1" applyFont="1" applyFill="1" applyAlignment="1">
      <alignment vertical="top"/>
    </xf>
    <xf numFmtId="164" fontId="1" fillId="15" borderId="0" xfId="1" applyNumberFormat="1" applyFill="1" applyAlignment="1">
      <alignment vertical="top"/>
    </xf>
    <xf numFmtId="164" fontId="2" fillId="15" borderId="25" xfId="1" applyNumberFormat="1" applyFont="1" applyFill="1" applyBorder="1" applyAlignment="1">
      <alignment vertical="top"/>
    </xf>
    <xf numFmtId="164" fontId="2" fillId="15" borderId="72" xfId="1" applyNumberFormat="1" applyFont="1" applyFill="1" applyBorder="1" applyAlignment="1">
      <alignment vertical="top"/>
    </xf>
    <xf numFmtId="0" fontId="6" fillId="15" borderId="26" xfId="0" applyFont="1" applyFill="1" applyBorder="1" applyAlignment="1" applyProtection="1">
      <alignment horizontal="left" vertical="center" wrapText="1"/>
      <protection locked="0"/>
    </xf>
    <xf numFmtId="164" fontId="0" fillId="15" borderId="4" xfId="1" applyNumberFormat="1" applyFont="1" applyFill="1" applyBorder="1" applyAlignment="1">
      <alignment vertical="top"/>
    </xf>
    <xf numFmtId="164" fontId="0" fillId="15" borderId="1" xfId="1" applyNumberFormat="1" applyFont="1" applyFill="1" applyBorder="1" applyAlignment="1">
      <alignment horizontal="center" vertical="top"/>
    </xf>
    <xf numFmtId="164" fontId="0" fillId="15" borderId="69" xfId="1" applyNumberFormat="1" applyFont="1" applyFill="1" applyBorder="1" applyAlignment="1">
      <alignment vertical="top" wrapText="1"/>
    </xf>
    <xf numFmtId="164" fontId="0" fillId="15" borderId="12" xfId="1" applyNumberFormat="1" applyFont="1" applyFill="1" applyBorder="1" applyAlignment="1">
      <alignment vertical="top"/>
    </xf>
    <xf numFmtId="164" fontId="0" fillId="15" borderId="5" xfId="1" applyNumberFormat="1" applyFont="1" applyFill="1" applyBorder="1" applyAlignment="1">
      <alignment horizontal="center" vertical="top"/>
    </xf>
    <xf numFmtId="164" fontId="0" fillId="15" borderId="12" xfId="1" applyNumberFormat="1" applyFont="1" applyFill="1" applyBorder="1" applyAlignment="1">
      <alignment horizontal="center" vertical="top"/>
    </xf>
    <xf numFmtId="0" fontId="0" fillId="15" borderId="66" xfId="0" applyFill="1" applyBorder="1" applyAlignment="1">
      <alignment vertical="center" wrapText="1"/>
    </xf>
    <xf numFmtId="164" fontId="0" fillId="15" borderId="46" xfId="1" applyNumberFormat="1" applyFont="1" applyFill="1" applyBorder="1" applyAlignment="1">
      <alignment vertical="top" wrapText="1"/>
    </xf>
    <xf numFmtId="164" fontId="0" fillId="15" borderId="20" xfId="1" applyNumberFormat="1" applyFont="1" applyFill="1" applyBorder="1" applyAlignment="1">
      <alignment vertical="top"/>
    </xf>
    <xf numFmtId="164" fontId="0" fillId="15" borderId="70" xfId="1" applyNumberFormat="1" applyFont="1" applyFill="1" applyBorder="1" applyAlignment="1">
      <alignment vertical="top"/>
    </xf>
    <xf numFmtId="0" fontId="0" fillId="15" borderId="65" xfId="0" applyFill="1" applyBorder="1" applyAlignment="1">
      <alignment vertical="center" wrapText="1"/>
    </xf>
    <xf numFmtId="0" fontId="5" fillId="15" borderId="65" xfId="0" applyFont="1" applyFill="1" applyBorder="1" applyAlignment="1">
      <alignment vertical="center" wrapText="1"/>
    </xf>
    <xf numFmtId="0" fontId="5" fillId="15" borderId="66" xfId="0" applyFont="1" applyFill="1" applyBorder="1" applyAlignment="1">
      <alignment vertical="center" wrapText="1"/>
    </xf>
    <xf numFmtId="0" fontId="5" fillId="15" borderId="42" xfId="0" applyFont="1" applyFill="1" applyBorder="1" applyAlignment="1">
      <alignment vertical="center" wrapText="1"/>
    </xf>
    <xf numFmtId="164" fontId="1" fillId="0" borderId="37" xfId="1" applyNumberFormat="1" applyBorder="1" applyAlignment="1">
      <alignment vertical="top" wrapText="1"/>
    </xf>
    <xf numFmtId="164" fontId="2" fillId="15" borderId="52" xfId="1" applyNumberFormat="1" applyFont="1" applyFill="1" applyBorder="1" applyAlignment="1">
      <alignment horizontal="center" vertical="top"/>
    </xf>
    <xf numFmtId="164" fontId="8" fillId="16" borderId="4" xfId="1" applyNumberFormat="1" applyFont="1" applyFill="1" applyBorder="1" applyAlignment="1">
      <alignment horizontal="center" vertical="top"/>
    </xf>
    <xf numFmtId="164" fontId="2" fillId="15" borderId="46" xfId="1" applyNumberFormat="1" applyFont="1" applyFill="1" applyBorder="1" applyAlignment="1">
      <alignment vertical="top"/>
    </xf>
    <xf numFmtId="164" fontId="8" fillId="15" borderId="0" xfId="1" applyNumberFormat="1" applyFont="1" applyFill="1" applyAlignment="1">
      <alignment horizontal="center" vertical="top"/>
    </xf>
    <xf numFmtId="164" fontId="0" fillId="0" borderId="33" xfId="1" applyNumberFormat="1" applyFont="1" applyBorder="1" applyAlignment="1">
      <alignment horizontal="center" vertical="top"/>
    </xf>
    <xf numFmtId="164" fontId="0" fillId="0" borderId="9" xfId="1" applyNumberFormat="1" applyFont="1" applyBorder="1" applyAlignment="1">
      <alignment horizontal="center" vertical="top"/>
    </xf>
    <xf numFmtId="164" fontId="0" fillId="0" borderId="6" xfId="1" applyNumberFormat="1" applyFont="1" applyBorder="1" applyAlignment="1">
      <alignment horizontal="center" vertical="top"/>
    </xf>
    <xf numFmtId="164" fontId="0" fillId="0" borderId="4" xfId="1" applyNumberFormat="1" applyFont="1" applyBorder="1" applyAlignment="1">
      <alignment horizontal="center" vertical="top"/>
    </xf>
    <xf numFmtId="164" fontId="5" fillId="0" borderId="20" xfId="1" applyNumberFormat="1" applyFont="1" applyBorder="1" applyAlignment="1">
      <alignment horizontal="center"/>
    </xf>
    <xf numFmtId="164" fontId="0" fillId="0" borderId="0" xfId="1" applyNumberFormat="1" applyFont="1" applyAlignment="1">
      <alignment horizontal="center" vertical="top"/>
    </xf>
    <xf numFmtId="164" fontId="5" fillId="0" borderId="4" xfId="1" applyNumberFormat="1" applyFont="1" applyBorder="1" applyAlignment="1">
      <alignment horizontal="center"/>
    </xf>
    <xf numFmtId="164" fontId="5" fillId="0" borderId="1" xfId="1" applyNumberFormat="1" applyFont="1" applyBorder="1" applyAlignment="1">
      <alignment horizontal="center"/>
    </xf>
    <xf numFmtId="164" fontId="5" fillId="0" borderId="52" xfId="1" applyNumberFormat="1" applyFont="1" applyBorder="1" applyAlignment="1">
      <alignment horizontal="center"/>
    </xf>
    <xf numFmtId="164" fontId="5" fillId="0" borderId="0" xfId="1" applyNumberFormat="1" applyFont="1" applyAlignment="1">
      <alignment horizontal="center"/>
    </xf>
    <xf numFmtId="164" fontId="0" fillId="0" borderId="5" xfId="1" applyNumberFormat="1" applyFont="1" applyBorder="1" applyAlignment="1">
      <alignment horizontal="center" vertical="top"/>
    </xf>
    <xf numFmtId="164" fontId="1" fillId="0" borderId="52" xfId="1" applyNumberFormat="1" applyBorder="1" applyAlignment="1">
      <alignment horizontal="center" vertical="top"/>
    </xf>
    <xf numFmtId="164" fontId="1" fillId="0" borderId="53" xfId="1" applyNumberFormat="1" applyBorder="1" applyAlignment="1">
      <alignment horizontal="center" vertical="top"/>
    </xf>
    <xf numFmtId="164" fontId="1" fillId="0" borderId="54" xfId="1" applyNumberFormat="1" applyBorder="1" applyAlignment="1">
      <alignment horizontal="center" vertical="top"/>
    </xf>
    <xf numFmtId="164" fontId="1" fillId="15" borderId="25" xfId="1" applyNumberFormat="1" applyFill="1" applyBorder="1" applyAlignment="1">
      <alignment vertical="top"/>
    </xf>
    <xf numFmtId="164" fontId="2" fillId="2" borderId="45" xfId="1" applyNumberFormat="1" applyFont="1" applyFill="1" applyBorder="1" applyAlignment="1">
      <alignment vertical="top"/>
    </xf>
    <xf numFmtId="164" fontId="2" fillId="2" borderId="46" xfId="1" applyNumberFormat="1" applyFont="1" applyFill="1" applyBorder="1" applyAlignment="1">
      <alignment vertical="top"/>
    </xf>
    <xf numFmtId="164" fontId="2" fillId="0" borderId="72" xfId="1" applyNumberFormat="1" applyFont="1" applyBorder="1" applyAlignment="1" applyProtection="1">
      <alignment vertical="top"/>
      <protection locked="0"/>
    </xf>
    <xf numFmtId="164" fontId="2" fillId="15" borderId="1" xfId="1" applyNumberFormat="1" applyFont="1" applyFill="1" applyBorder="1" applyAlignment="1">
      <alignment horizontal="center" vertical="top"/>
    </xf>
    <xf numFmtId="164" fontId="2" fillId="15" borderId="5" xfId="1" applyNumberFormat="1" applyFont="1" applyFill="1" applyBorder="1" applyAlignment="1">
      <alignment horizontal="center" vertical="top"/>
    </xf>
    <xf numFmtId="164" fontId="2" fillId="15" borderId="56" xfId="1" applyNumberFormat="1" applyFont="1" applyFill="1" applyBorder="1" applyAlignment="1">
      <alignment vertical="top"/>
    </xf>
    <xf numFmtId="164" fontId="2" fillId="0" borderId="51" xfId="1" applyNumberFormat="1" applyFont="1" applyBorder="1" applyAlignment="1">
      <alignment vertical="top"/>
    </xf>
    <xf numFmtId="164" fontId="2" fillId="10" borderId="46" xfId="1" applyNumberFormat="1" applyFont="1" applyFill="1" applyBorder="1" applyAlignment="1">
      <alignment vertical="top"/>
    </xf>
    <xf numFmtId="164" fontId="2" fillId="0" borderId="46" xfId="1" applyNumberFormat="1" applyFont="1" applyBorder="1" applyAlignment="1">
      <alignment vertical="top"/>
    </xf>
    <xf numFmtId="164" fontId="2" fillId="10" borderId="56" xfId="1" applyNumberFormat="1" applyFont="1" applyFill="1" applyBorder="1" applyAlignment="1">
      <alignment vertical="top"/>
    </xf>
    <xf numFmtId="164" fontId="2" fillId="2" borderId="56" xfId="1" applyNumberFormat="1" applyFont="1" applyFill="1" applyBorder="1" applyAlignment="1">
      <alignment vertical="top"/>
    </xf>
    <xf numFmtId="164" fontId="2" fillId="15" borderId="4" xfId="1" applyNumberFormat="1" applyFont="1" applyFill="1" applyBorder="1" applyAlignment="1">
      <alignment vertical="top"/>
    </xf>
    <xf numFmtId="164" fontId="2" fillId="15" borderId="70" xfId="1" applyNumberFormat="1" applyFont="1" applyFill="1" applyBorder="1" applyAlignment="1">
      <alignment vertical="top"/>
    </xf>
    <xf numFmtId="164" fontId="2" fillId="0" borderId="70" xfId="1" applyNumberFormat="1" applyFont="1" applyBorder="1" applyAlignment="1">
      <alignment vertical="top"/>
    </xf>
    <xf numFmtId="164" fontId="2" fillId="10" borderId="70" xfId="1" applyNumberFormat="1" applyFont="1" applyFill="1" applyBorder="1" applyAlignment="1">
      <alignment vertical="top"/>
    </xf>
    <xf numFmtId="164" fontId="5" fillId="7" borderId="1" xfId="1" applyNumberFormat="1" applyFont="1" applyFill="1" applyBorder="1" applyAlignment="1">
      <alignment horizontal="center" vertical="top"/>
    </xf>
    <xf numFmtId="164" fontId="5" fillId="0" borderId="0" xfId="1" applyNumberFormat="1" applyFont="1" applyAlignment="1">
      <alignment horizontal="center" vertical="top"/>
    </xf>
    <xf numFmtId="164" fontId="2" fillId="17" borderId="69" xfId="1" applyNumberFormat="1" applyFont="1" applyFill="1" applyBorder="1" applyAlignment="1">
      <alignment vertical="top" wrapText="1"/>
    </xf>
    <xf numFmtId="164" fontId="0" fillId="17" borderId="46" xfId="1" applyNumberFormat="1" applyFont="1" applyFill="1" applyBorder="1" applyAlignment="1">
      <alignment vertical="top" wrapText="1"/>
    </xf>
    <xf numFmtId="164" fontId="0" fillId="17" borderId="20" xfId="1" applyNumberFormat="1" applyFont="1" applyFill="1" applyBorder="1" applyAlignment="1">
      <alignment vertical="top"/>
    </xf>
    <xf numFmtId="164" fontId="2" fillId="17" borderId="70" xfId="1" applyNumberFormat="1" applyFont="1" applyFill="1" applyBorder="1" applyAlignment="1">
      <alignment vertical="top"/>
    </xf>
    <xf numFmtId="0" fontId="0" fillId="17" borderId="0" xfId="0" applyFill="1" applyAlignment="1">
      <alignment vertical="top"/>
    </xf>
    <xf numFmtId="164" fontId="2" fillId="17" borderId="4" xfId="1" applyNumberFormat="1" applyFont="1" applyFill="1" applyBorder="1" applyAlignment="1">
      <alignment vertical="top"/>
    </xf>
    <xf numFmtId="164" fontId="2" fillId="17" borderId="1" xfId="1" applyNumberFormat="1" applyFont="1" applyFill="1" applyBorder="1" applyAlignment="1">
      <alignment horizontal="center" vertical="top"/>
    </xf>
    <xf numFmtId="164" fontId="2" fillId="17" borderId="53" xfId="1" applyNumberFormat="1" applyFont="1" applyFill="1" applyBorder="1" applyAlignment="1">
      <alignment vertical="top"/>
    </xf>
    <xf numFmtId="164" fontId="2" fillId="17" borderId="61" xfId="1" applyNumberFormat="1" applyFont="1" applyFill="1" applyBorder="1" applyAlignment="1">
      <alignment vertical="top"/>
    </xf>
    <xf numFmtId="0" fontId="7" fillId="17" borderId="1" xfId="0" applyFont="1" applyFill="1" applyBorder="1" applyAlignment="1" applyProtection="1">
      <alignment horizontal="left" vertical="center" wrapText="1"/>
      <protection locked="0"/>
    </xf>
    <xf numFmtId="164" fontId="5" fillId="18" borderId="74" xfId="1" applyNumberFormat="1" applyFont="1" applyFill="1" applyBorder="1" applyAlignment="1">
      <alignment vertical="top" wrapText="1"/>
    </xf>
    <xf numFmtId="164" fontId="5" fillId="18" borderId="0" xfId="1" applyNumberFormat="1" applyFont="1" applyFill="1" applyAlignment="1">
      <alignment wrapText="1"/>
    </xf>
    <xf numFmtId="164" fontId="8" fillId="18" borderId="52" xfId="1" applyNumberFormat="1" applyFont="1" applyFill="1" applyBorder="1" applyAlignment="1">
      <alignment horizontal="center"/>
    </xf>
    <xf numFmtId="164" fontId="8" fillId="18" borderId="0" xfId="1" applyNumberFormat="1" applyFont="1" applyFill="1" applyAlignment="1">
      <alignment horizontal="center"/>
    </xf>
    <xf numFmtId="164" fontId="2" fillId="17" borderId="72" xfId="1" applyNumberFormat="1" applyFont="1" applyFill="1" applyBorder="1"/>
    <xf numFmtId="3" fontId="2" fillId="17" borderId="0" xfId="0" applyNumberFormat="1" applyFont="1" applyFill="1" applyAlignment="1">
      <alignment vertical="top"/>
    </xf>
    <xf numFmtId="164" fontId="1" fillId="0" borderId="70" xfId="1" applyNumberFormat="1" applyBorder="1" applyAlignment="1">
      <alignment vertical="top"/>
    </xf>
    <xf numFmtId="164" fontId="12" fillId="13" borderId="70" xfId="1" applyNumberFormat="1" applyFont="1" applyFill="1" applyBorder="1" applyAlignment="1">
      <alignment vertical="top"/>
    </xf>
    <xf numFmtId="164" fontId="0" fillId="0" borderId="37" xfId="1" applyNumberFormat="1" applyFont="1" applyBorder="1" applyAlignment="1">
      <alignment vertical="top"/>
    </xf>
    <xf numFmtId="164" fontId="0" fillId="2" borderId="74" xfId="1" applyNumberFormat="1" applyFont="1" applyFill="1" applyBorder="1" applyAlignment="1">
      <alignment horizontal="left" vertical="top" wrapText="1"/>
    </xf>
    <xf numFmtId="0" fontId="0" fillId="0" borderId="65" xfId="0" applyBorder="1"/>
    <xf numFmtId="164" fontId="0" fillId="2" borderId="69" xfId="1" applyNumberFormat="1" applyFont="1" applyFill="1" applyBorder="1" applyAlignment="1">
      <alignment horizontal="left" vertical="top"/>
    </xf>
    <xf numFmtId="0" fontId="0" fillId="0" borderId="73" xfId="0" applyBorder="1"/>
    <xf numFmtId="164" fontId="0" fillId="2" borderId="70" xfId="1" applyNumberFormat="1" applyFont="1" applyFill="1" applyBorder="1" applyAlignment="1">
      <alignment horizontal="left" vertical="top" wrapText="1"/>
    </xf>
    <xf numFmtId="164" fontId="0" fillId="2" borderId="69" xfId="1" applyNumberFormat="1" applyFont="1" applyFill="1" applyBorder="1" applyAlignment="1">
      <alignment horizontal="left" vertical="top" wrapText="1"/>
    </xf>
    <xf numFmtId="164" fontId="3" fillId="7" borderId="70" xfId="1" applyNumberFormat="1" applyFont="1" applyFill="1" applyBorder="1" applyAlignment="1">
      <alignment wrapText="1"/>
    </xf>
    <xf numFmtId="164" fontId="2" fillId="3" borderId="15" xfId="1" applyNumberFormat="1" applyFont="1" applyFill="1" applyBorder="1" applyAlignment="1">
      <alignment horizontal="left" vertical="top"/>
    </xf>
    <xf numFmtId="0" fontId="0" fillId="0" borderId="54" xfId="0" applyBorder="1"/>
    <xf numFmtId="0" fontId="0" fillId="0" borderId="55" xfId="0" applyBorder="1"/>
    <xf numFmtId="164" fontId="2" fillId="6" borderId="66" xfId="1" applyNumberFormat="1" applyFont="1" applyFill="1" applyBorder="1" applyAlignment="1">
      <alignment horizontal="left" vertical="top"/>
    </xf>
    <xf numFmtId="0" fontId="0" fillId="0" borderId="75" xfId="0" applyBorder="1"/>
    <xf numFmtId="0" fontId="0" fillId="0" borderId="50" xfId="0" applyBorder="1"/>
    <xf numFmtId="0" fontId="2" fillId="6" borderId="66" xfId="0" applyFont="1" applyFill="1" applyBorder="1" applyAlignment="1">
      <alignment horizontal="left"/>
    </xf>
    <xf numFmtId="164" fontId="2" fillId="3" borderId="42" xfId="1" applyNumberFormat="1" applyFont="1" applyFill="1" applyBorder="1" applyAlignment="1">
      <alignment horizontal="left" vertical="top" wrapText="1"/>
    </xf>
    <xf numFmtId="164" fontId="0" fillId="2" borderId="73" xfId="1" applyNumberFormat="1" applyFont="1" applyFill="1" applyBorder="1" applyAlignment="1">
      <alignment horizontal="left" vertical="top" wrapText="1"/>
    </xf>
    <xf numFmtId="164" fontId="0" fillId="2" borderId="45" xfId="1" applyNumberFormat="1" applyFont="1" applyFill="1" applyBorder="1" applyAlignment="1">
      <alignment horizontal="left" vertical="top" wrapText="1"/>
    </xf>
    <xf numFmtId="0" fontId="0" fillId="0" borderId="72" xfId="0" applyBorder="1"/>
    <xf numFmtId="0" fontId="0" fillId="0" borderId="45" xfId="0" applyBorder="1"/>
    <xf numFmtId="164" fontId="0" fillId="2" borderId="40" xfId="1" applyNumberFormat="1" applyFont="1" applyFill="1" applyBorder="1" applyAlignment="1">
      <alignment horizontal="left" vertical="top" wrapText="1"/>
    </xf>
    <xf numFmtId="164" fontId="0" fillId="2" borderId="78" xfId="1" applyNumberFormat="1" applyFont="1" applyFill="1" applyBorder="1" applyAlignment="1">
      <alignment horizontal="left" vertical="top"/>
    </xf>
    <xf numFmtId="0" fontId="0" fillId="2" borderId="0" xfId="0" applyFill="1"/>
    <xf numFmtId="164" fontId="0" fillId="2" borderId="0" xfId="1" applyNumberFormat="1" applyFont="1" applyFill="1" applyAlignment="1">
      <alignment horizontal="left" vertical="top"/>
    </xf>
    <xf numFmtId="164" fontId="0" fillId="2" borderId="65" xfId="1" applyNumberFormat="1" applyFont="1" applyFill="1" applyBorder="1" applyAlignment="1">
      <alignment horizontal="left" vertical="top" wrapText="1"/>
    </xf>
    <xf numFmtId="164" fontId="0" fillId="2" borderId="55" xfId="1" applyNumberFormat="1" applyFont="1" applyFill="1" applyBorder="1" applyAlignment="1">
      <alignment horizontal="left" vertical="top"/>
    </xf>
    <xf numFmtId="164" fontId="0" fillId="2" borderId="15" xfId="1" applyNumberFormat="1" applyFont="1" applyFill="1" applyBorder="1" applyAlignment="1">
      <alignment horizontal="left" vertical="top" wrapText="1"/>
    </xf>
    <xf numFmtId="0" fontId="0" fillId="0" borderId="66" xfId="0" applyBorder="1"/>
    <xf numFmtId="164" fontId="2" fillId="8" borderId="15" xfId="1" applyNumberFormat="1" applyFont="1" applyFill="1" applyBorder="1" applyAlignment="1">
      <alignment horizontal="center" vertical="center"/>
    </xf>
    <xf numFmtId="0" fontId="2" fillId="8" borderId="58" xfId="0" applyFont="1" applyFill="1" applyBorder="1" applyAlignment="1">
      <alignment horizontal="center" vertical="center"/>
    </xf>
    <xf numFmtId="0" fontId="0" fillId="0" borderId="49" xfId="0" applyBorder="1"/>
    <xf numFmtId="0" fontId="2" fillId="8" borderId="57" xfId="0" applyFont="1" applyFill="1" applyBorder="1" applyAlignment="1">
      <alignment horizontal="center" vertical="center" wrapText="1"/>
    </xf>
    <xf numFmtId="0" fontId="0" fillId="0" borderId="48" xfId="0" applyBorder="1"/>
    <xf numFmtId="0" fontId="2" fillId="8" borderId="58" xfId="0" applyFont="1" applyFill="1" applyBorder="1" applyAlignment="1">
      <alignment horizontal="center" vertical="center" wrapText="1"/>
    </xf>
    <xf numFmtId="0" fontId="2" fillId="8" borderId="59" xfId="0" applyFont="1" applyFill="1" applyBorder="1" applyAlignment="1">
      <alignment horizontal="center" vertical="center"/>
    </xf>
    <xf numFmtId="0" fontId="0" fillId="0" borderId="37" xfId="0" applyBorder="1"/>
    <xf numFmtId="0" fontId="2" fillId="8" borderId="32" xfId="0" applyFont="1" applyFill="1" applyBorder="1" applyAlignment="1">
      <alignment horizontal="center"/>
    </xf>
    <xf numFmtId="0" fontId="0" fillId="0" borderId="32" xfId="0" applyBorder="1"/>
    <xf numFmtId="0" fontId="2" fillId="8" borderId="69" xfId="0" applyFont="1" applyFill="1" applyBorder="1" applyAlignment="1">
      <alignment horizontal="center"/>
    </xf>
    <xf numFmtId="0" fontId="0" fillId="0" borderId="51" xfId="0" applyBorder="1"/>
    <xf numFmtId="164" fontId="0" fillId="2" borderId="8" xfId="1" applyNumberFormat="1" applyFont="1" applyFill="1" applyBorder="1" applyAlignment="1">
      <alignment horizontal="left" vertical="top"/>
    </xf>
    <xf numFmtId="0" fontId="0" fillId="2" borderId="0" xfId="0" applyFill="1" applyAlignment="1">
      <alignment vertical="top"/>
    </xf>
    <xf numFmtId="164" fontId="0" fillId="2" borderId="3" xfId="1" applyNumberFormat="1" applyFont="1" applyFill="1" applyBorder="1" applyAlignment="1">
      <alignment horizontal="left" vertical="top" wrapText="1"/>
    </xf>
    <xf numFmtId="0" fontId="0" fillId="0" borderId="26" xfId="0" applyBorder="1"/>
    <xf numFmtId="164" fontId="0" fillId="2" borderId="41" xfId="1" applyNumberFormat="1" applyFont="1" applyFill="1" applyBorder="1" applyAlignment="1">
      <alignment horizontal="left" vertical="top" wrapText="1"/>
    </xf>
    <xf numFmtId="164" fontId="0" fillId="2" borderId="72" xfId="1" applyNumberFormat="1" applyFont="1" applyFill="1" applyBorder="1" applyAlignment="1">
      <alignment horizontal="left" vertical="top" wrapText="1"/>
    </xf>
    <xf numFmtId="164" fontId="0" fillId="2" borderId="67" xfId="1" applyNumberFormat="1" applyFont="1" applyFill="1" applyBorder="1" applyAlignment="1">
      <alignment horizontal="left" vertical="top" wrapText="1"/>
    </xf>
    <xf numFmtId="0" fontId="0" fillId="0" borderId="67" xfId="0" applyBorder="1"/>
    <xf numFmtId="164" fontId="3" fillId="7" borderId="69" xfId="1" applyNumberFormat="1" applyFont="1" applyFill="1" applyBorder="1" applyAlignment="1">
      <alignment vertical="top" wrapText="1"/>
    </xf>
    <xf numFmtId="164" fontId="0" fillId="7" borderId="69" xfId="1" applyNumberFormat="1" applyFont="1" applyFill="1" applyBorder="1" applyAlignment="1">
      <alignment vertical="top" wrapText="1"/>
    </xf>
    <xf numFmtId="164" fontId="3" fillId="7" borderId="66" xfId="1" applyNumberFormat="1" applyFont="1" applyFill="1" applyBorder="1" applyAlignment="1">
      <alignment horizontal="left" vertical="top" wrapText="1"/>
    </xf>
    <xf numFmtId="164" fontId="0" fillId="2" borderId="66" xfId="1" applyNumberFormat="1" applyFont="1" applyFill="1" applyBorder="1" applyAlignment="1">
      <alignment horizontal="left" vertical="top" wrapText="1"/>
    </xf>
    <xf numFmtId="164" fontId="2" fillId="3" borderId="15" xfId="1" applyNumberFormat="1" applyFont="1" applyFill="1" applyBorder="1" applyAlignment="1">
      <alignment horizontal="center" vertical="top"/>
    </xf>
    <xf numFmtId="164" fontId="2" fillId="3" borderId="66" xfId="1" applyNumberFormat="1" applyFont="1" applyFill="1" applyBorder="1" applyAlignment="1">
      <alignment horizontal="center" vertical="top"/>
    </xf>
    <xf numFmtId="164" fontId="2" fillId="3" borderId="55" xfId="1" applyNumberFormat="1" applyFont="1" applyFill="1" applyBorder="1" applyAlignment="1">
      <alignment horizontal="center" vertical="top"/>
    </xf>
    <xf numFmtId="164" fontId="0" fillId="2" borderId="51" xfId="1" applyNumberFormat="1" applyFont="1" applyFill="1" applyBorder="1" applyAlignment="1">
      <alignment horizontal="left" vertical="top" wrapText="1"/>
    </xf>
    <xf numFmtId="164" fontId="2" fillId="3" borderId="40" xfId="1" applyNumberFormat="1" applyFont="1" applyFill="1" applyBorder="1" applyAlignment="1">
      <alignment horizontal="center" vertical="top"/>
    </xf>
    <xf numFmtId="0" fontId="0" fillId="0" borderId="78" xfId="0" applyBorder="1"/>
    <xf numFmtId="0" fontId="0" fillId="0" borderId="79" xfId="0" applyBorder="1"/>
    <xf numFmtId="164" fontId="2" fillId="3" borderId="65" xfId="1" applyNumberFormat="1" applyFont="1" applyFill="1" applyBorder="1" applyAlignment="1">
      <alignment horizontal="center" vertical="top"/>
    </xf>
    <xf numFmtId="164" fontId="2" fillId="6" borderId="15" xfId="1" applyNumberFormat="1" applyFont="1" applyFill="1" applyBorder="1" applyAlignment="1">
      <alignment horizontal="left" vertical="top"/>
    </xf>
    <xf numFmtId="0" fontId="2" fillId="2" borderId="17" xfId="0" applyFont="1" applyFill="1" applyBorder="1" applyAlignment="1">
      <alignment horizontal="center"/>
    </xf>
    <xf numFmtId="0" fontId="0" fillId="0" borderId="33" xfId="0" applyBorder="1"/>
    <xf numFmtId="0" fontId="2" fillId="2" borderId="33" xfId="0" applyFont="1" applyFill="1" applyBorder="1" applyAlignment="1">
      <alignment horizontal="center"/>
    </xf>
    <xf numFmtId="0" fontId="2" fillId="2" borderId="38" xfId="0" applyFont="1" applyFill="1" applyBorder="1" applyAlignment="1">
      <alignment horizontal="center"/>
    </xf>
    <xf numFmtId="0" fontId="2" fillId="2" borderId="38" xfId="0" applyFont="1" applyFill="1" applyBorder="1" applyAlignment="1">
      <alignment horizontal="center" vertical="center" wrapText="1"/>
    </xf>
    <xf numFmtId="0" fontId="0" fillId="0" borderId="81" xfId="0" applyBorder="1"/>
    <xf numFmtId="0" fontId="2" fillId="4" borderId="1" xfId="0" applyFont="1" applyFill="1" applyBorder="1" applyAlignment="1">
      <alignment horizontal="left" vertical="top"/>
    </xf>
    <xf numFmtId="0" fontId="0" fillId="0" borderId="3" xfId="0" applyBorder="1"/>
    <xf numFmtId="0" fontId="0" fillId="0" borderId="4" xfId="0" applyBorder="1"/>
    <xf numFmtId="0" fontId="2" fillId="5" borderId="1" xfId="0" applyFont="1" applyFill="1" applyBorder="1" applyAlignment="1">
      <alignment horizontal="left" vertical="top" wrapText="1"/>
    </xf>
    <xf numFmtId="0" fontId="2" fillId="3" borderId="1" xfId="0" applyFont="1" applyFill="1" applyBorder="1" applyAlignment="1">
      <alignment horizontal="left" wrapText="1"/>
    </xf>
    <xf numFmtId="0" fontId="2" fillId="6" borderId="1" xfId="0" applyFont="1" applyFill="1" applyBorder="1" applyAlignment="1">
      <alignment horizontal="center" vertical="center" wrapText="1"/>
    </xf>
    <xf numFmtId="0" fontId="0" fillId="0" borderId="6" xfId="0" applyBorder="1"/>
    <xf numFmtId="0" fontId="2" fillId="6" borderId="1" xfId="0" applyFont="1" applyFill="1" applyBorder="1" applyAlignment="1">
      <alignment horizontal="center" vertical="center"/>
    </xf>
    <xf numFmtId="0" fontId="2" fillId="6" borderId="1" xfId="0" applyFont="1" applyFill="1" applyBorder="1" applyAlignment="1">
      <alignment horizontal="center"/>
    </xf>
    <xf numFmtId="164" fontId="2" fillId="6" borderId="1" xfId="1" applyNumberFormat="1" applyFont="1" applyFill="1" applyBorder="1" applyAlignment="1">
      <alignment horizontal="center" vertical="center"/>
    </xf>
    <xf numFmtId="0" fontId="2" fillId="4" borderId="1" xfId="0" applyFont="1" applyFill="1" applyBorder="1" applyAlignment="1">
      <alignment horizontal="left"/>
    </xf>
    <xf numFmtId="0" fontId="0" fillId="0" borderId="0" xfId="0" applyAlignment="1">
      <alignment wrapText="1"/>
    </xf>
    <xf numFmtId="43" fontId="1" fillId="0" borderId="0" xfId="1"/>
    <xf numFmtId="9" fontId="0" fillId="0" borderId="0" xfId="0" applyNumberFormat="1"/>
    <xf numFmtId="167" fontId="0" fillId="0" borderId="0" xfId="0" applyNumberFormat="1"/>
    <xf numFmtId="1" fontId="0" fillId="0" borderId="0" xfId="0" applyNumberFormat="1"/>
    <xf numFmtId="43" fontId="2" fillId="0" borderId="0" xfId="1" applyFont="1" applyAlignment="1">
      <alignment horizontal="center"/>
    </xf>
    <xf numFmtId="43" fontId="0" fillId="0" borderId="0" xfId="0" applyNumberFormat="1"/>
    <xf numFmtId="168" fontId="0" fillId="0" borderId="0" xfId="0" applyNumberFormat="1"/>
    <xf numFmtId="164" fontId="0" fillId="0" borderId="0" xfId="0" applyNumberFormat="1"/>
    <xf numFmtId="168" fontId="1" fillId="0" borderId="0" xfId="1" applyNumberFormat="1"/>
    <xf numFmtId="164" fontId="1" fillId="0" borderId="0" xfId="1" applyNumberFormat="1"/>
    <xf numFmtId="164" fontId="2" fillId="0" borderId="0" xfId="0" applyNumberFormat="1" applyFont="1"/>
    <xf numFmtId="0" fontId="2" fillId="0" borderId="0" xfId="0" applyFont="1" applyAlignment="1">
      <alignment horizontal="center"/>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203"/>
  <sheetViews>
    <sheetView zoomScale="80" zoomScaleNormal="80" workbookViewId="0">
      <pane ySplit="3" topLeftCell="A41" activePane="bottomLeft" state="frozen"/>
      <selection activeCell="C1" sqref="C1"/>
      <selection pane="bottomLeft" activeCell="A68" sqref="A68"/>
    </sheetView>
  </sheetViews>
  <sheetFormatPr defaultColWidth="9" defaultRowHeight="15.75" customHeight="1"/>
  <cols>
    <col min="1" max="1" width="70" style="8" bestFit="1" customWidth="1"/>
    <col min="2" max="2" width="40" style="1" hidden="1" customWidth="1"/>
    <col min="3" max="3" width="90.796875" style="1" hidden="1" customWidth="1"/>
    <col min="4" max="4" width="19.5" style="1" bestFit="1" customWidth="1"/>
    <col min="5" max="5" width="27.796875" style="1" bestFit="1" customWidth="1"/>
    <col min="6" max="6" width="10.796875" style="1" hidden="1" customWidth="1"/>
    <col min="7" max="7" width="18" style="1" hidden="1" customWidth="1"/>
    <col min="8" max="8" width="24.296875" style="1" hidden="1" customWidth="1"/>
    <col min="9" max="9" width="11.5" style="1" hidden="1" customWidth="1"/>
    <col min="10" max="12" width="17.5" style="1" hidden="1" customWidth="1"/>
    <col min="13" max="15" width="17.5" style="1" customWidth="1"/>
    <col min="16" max="16" width="17.5" style="10" customWidth="1"/>
    <col min="17" max="17" width="68.5" style="1" customWidth="1"/>
    <col min="18" max="18" width="54" style="1" customWidth="1"/>
    <col min="19" max="19" width="9" style="1" customWidth="1"/>
    <col min="20" max="16384" width="9" style="1"/>
  </cols>
  <sheetData>
    <row r="1" spans="1:19" ht="16.05" customHeight="1">
      <c r="A1" s="445" t="s">
        <v>0</v>
      </c>
      <c r="B1" s="443" t="s">
        <v>1</v>
      </c>
      <c r="C1" s="443" t="s">
        <v>2</v>
      </c>
      <c r="D1" s="443" t="s">
        <v>3</v>
      </c>
      <c r="E1" s="443" t="s">
        <v>4</v>
      </c>
      <c r="F1" s="443" t="s">
        <v>5</v>
      </c>
      <c r="G1" s="443" t="s">
        <v>6</v>
      </c>
      <c r="H1" s="447" t="s">
        <v>7</v>
      </c>
      <c r="I1" s="448" t="s">
        <v>8</v>
      </c>
      <c r="J1" s="452" t="s">
        <v>9</v>
      </c>
      <c r="K1" s="451"/>
      <c r="L1" s="453"/>
      <c r="M1" s="450" t="s">
        <v>10</v>
      </c>
      <c r="N1" s="451"/>
      <c r="O1" s="451"/>
      <c r="P1" s="442" t="s">
        <v>11</v>
      </c>
      <c r="S1" s="250" t="s">
        <v>12</v>
      </c>
    </row>
    <row r="2" spans="1:19" ht="36.75" customHeight="1" thickBot="1">
      <c r="A2" s="446"/>
      <c r="B2" s="444"/>
      <c r="C2" s="444"/>
      <c r="D2" s="444"/>
      <c r="E2" s="444"/>
      <c r="F2" s="444"/>
      <c r="G2" s="444"/>
      <c r="H2" s="444"/>
      <c r="I2" s="449"/>
      <c r="J2" s="51" t="s">
        <v>13</v>
      </c>
      <c r="K2" s="52" t="s">
        <v>14</v>
      </c>
      <c r="L2" s="53" t="s">
        <v>15</v>
      </c>
      <c r="M2" s="55" t="s">
        <v>16</v>
      </c>
      <c r="N2" s="52" t="s">
        <v>17</v>
      </c>
      <c r="O2" s="54" t="s">
        <v>18</v>
      </c>
      <c r="P2" s="441"/>
      <c r="Q2" s="19"/>
    </row>
    <row r="3" spans="1:19" ht="16.95" customHeight="1" thickBot="1">
      <c r="A3" s="428" t="s">
        <v>19</v>
      </c>
      <c r="B3" s="426"/>
      <c r="C3" s="426"/>
      <c r="D3" s="426"/>
      <c r="E3" s="426"/>
      <c r="F3" s="426"/>
      <c r="G3" s="426"/>
      <c r="H3" s="426"/>
      <c r="I3" s="426"/>
      <c r="J3" s="426"/>
      <c r="K3" s="426"/>
      <c r="L3" s="426"/>
      <c r="M3" s="426"/>
      <c r="N3" s="426"/>
      <c r="O3" s="426"/>
      <c r="P3" s="427"/>
    </row>
    <row r="4" spans="1:19" s="6" customFormat="1" ht="19.05" customHeight="1">
      <c r="A4" s="440" t="s">
        <v>20</v>
      </c>
      <c r="B4" s="440" t="s">
        <v>21</v>
      </c>
      <c r="C4" s="126" t="s">
        <v>22</v>
      </c>
      <c r="D4" s="50" t="s">
        <v>23</v>
      </c>
      <c r="E4" s="46" t="s">
        <v>24</v>
      </c>
      <c r="F4" s="46">
        <v>2</v>
      </c>
      <c r="G4" s="46">
        <v>14</v>
      </c>
      <c r="H4" s="46">
        <v>400</v>
      </c>
      <c r="I4" s="76">
        <f t="shared" ref="I4:I13" si="0">F4*G4*H4</f>
        <v>11200</v>
      </c>
      <c r="J4" s="37" t="s">
        <v>25</v>
      </c>
      <c r="K4" s="38" t="s">
        <v>25</v>
      </c>
      <c r="L4" s="39" t="s">
        <v>25</v>
      </c>
      <c r="M4" s="48">
        <f t="shared" ref="M4:M13" si="1">IF(AND($J4&gt;0,$K4&gt;0,$L4&gt;0),$I4/3,IF(AND($J4&gt;0,$K4&gt;0),$I4/2,IF(AND(J4="",OR($K4&gt;0,$L4&gt;0)),"",$I4)))</f>
        <v>3733.3333333333335</v>
      </c>
      <c r="N4" s="33">
        <f t="shared" ref="N4:N13" si="2">IF(AND($J4&gt;0,$K4&gt;0,$L4&gt;0),$I4/3,IF(AND($J4&gt;0,$K4&gt;0),$I4/2,IF(AND($J4="",$K4&gt;0),$I4,"")))</f>
        <v>3733.3333333333335</v>
      </c>
      <c r="O4" s="49">
        <f t="shared" ref="O4:O13" si="3">IF(AND($J4&gt;0,$K4&gt;0,$L4&gt;0),$I4/3,IF(AND(J4="",$K4&gt;0,$L4&gt;0),$I4/2,IF(AND($J4="",$K4="",L4&gt;0),$I4,"")))</f>
        <v>3733.3333333333335</v>
      </c>
      <c r="P4" s="56">
        <f t="shared" ref="P4:P35" si="4">SUM(M4:O4)</f>
        <v>11200</v>
      </c>
    </row>
    <row r="5" spans="1:19" s="6" customFormat="1" ht="19.05" customHeight="1">
      <c r="A5" s="416"/>
      <c r="B5" s="416"/>
      <c r="C5" s="123" t="s">
        <v>26</v>
      </c>
      <c r="D5" s="36" t="s">
        <v>23</v>
      </c>
      <c r="E5" s="9" t="s">
        <v>27</v>
      </c>
      <c r="F5" s="9">
        <v>2</v>
      </c>
      <c r="G5" s="9">
        <v>5</v>
      </c>
      <c r="H5" s="9">
        <v>300</v>
      </c>
      <c r="I5" s="29">
        <f t="shared" si="0"/>
        <v>3000</v>
      </c>
      <c r="J5" s="40" t="s">
        <v>25</v>
      </c>
      <c r="K5" s="26"/>
      <c r="L5" s="41"/>
      <c r="M5" s="40">
        <f t="shared" si="1"/>
        <v>3000</v>
      </c>
      <c r="N5" s="26" t="str">
        <f t="shared" si="2"/>
        <v/>
      </c>
      <c r="O5" s="41" t="str">
        <f t="shared" si="3"/>
        <v/>
      </c>
      <c r="P5" s="57">
        <f t="shared" si="4"/>
        <v>3000</v>
      </c>
    </row>
    <row r="6" spans="1:19" s="6" customFormat="1" ht="19.05" customHeight="1">
      <c r="A6" s="416"/>
      <c r="B6" s="416"/>
      <c r="C6" s="123" t="s">
        <v>28</v>
      </c>
      <c r="D6" s="36" t="s">
        <v>23</v>
      </c>
      <c r="E6" s="9" t="s">
        <v>27</v>
      </c>
      <c r="F6" s="9">
        <v>2</v>
      </c>
      <c r="G6" s="9">
        <v>5</v>
      </c>
      <c r="H6" s="9">
        <v>300</v>
      </c>
      <c r="I6" s="29">
        <f t="shared" si="0"/>
        <v>3000</v>
      </c>
      <c r="J6" s="40" t="s">
        <v>25</v>
      </c>
      <c r="K6" s="26"/>
      <c r="L6" s="41"/>
      <c r="M6" s="40">
        <f t="shared" si="1"/>
        <v>3000</v>
      </c>
      <c r="N6" s="26" t="str">
        <f t="shared" si="2"/>
        <v/>
      </c>
      <c r="O6" s="41" t="str">
        <f t="shared" si="3"/>
        <v/>
      </c>
      <c r="P6" s="57">
        <f t="shared" si="4"/>
        <v>3000</v>
      </c>
    </row>
    <row r="7" spans="1:19" s="6" customFormat="1" ht="19.05" customHeight="1">
      <c r="A7" s="416"/>
      <c r="B7" s="416"/>
      <c r="C7" s="123" t="s">
        <v>29</v>
      </c>
      <c r="D7" s="36" t="s">
        <v>23</v>
      </c>
      <c r="E7" s="9" t="s">
        <v>24</v>
      </c>
      <c r="F7" s="9">
        <v>2</v>
      </c>
      <c r="G7" s="9">
        <v>10</v>
      </c>
      <c r="H7" s="9">
        <v>300</v>
      </c>
      <c r="I7" s="29">
        <f t="shared" si="0"/>
        <v>6000</v>
      </c>
      <c r="J7" s="40" t="s">
        <v>25</v>
      </c>
      <c r="K7" s="26"/>
      <c r="L7" s="41"/>
      <c r="M7" s="40">
        <f t="shared" si="1"/>
        <v>6000</v>
      </c>
      <c r="N7" s="26" t="str">
        <f t="shared" si="2"/>
        <v/>
      </c>
      <c r="O7" s="41" t="str">
        <f t="shared" si="3"/>
        <v/>
      </c>
      <c r="P7" s="57">
        <f t="shared" si="4"/>
        <v>6000</v>
      </c>
    </row>
    <row r="8" spans="1:19" s="6" customFormat="1" ht="19.05" customHeight="1">
      <c r="A8" s="416"/>
      <c r="B8" s="416"/>
      <c r="C8" s="415" t="s">
        <v>30</v>
      </c>
      <c r="D8" s="36" t="s">
        <v>23</v>
      </c>
      <c r="E8" s="9" t="s">
        <v>24</v>
      </c>
      <c r="F8" s="9">
        <v>3</v>
      </c>
      <c r="G8" s="9">
        <f>4*5</f>
        <v>20</v>
      </c>
      <c r="H8" s="9">
        <v>400</v>
      </c>
      <c r="I8" s="29">
        <f t="shared" si="0"/>
        <v>24000</v>
      </c>
      <c r="J8" s="40" t="s">
        <v>25</v>
      </c>
      <c r="K8" s="26" t="s">
        <v>25</v>
      </c>
      <c r="L8" s="41" t="s">
        <v>25</v>
      </c>
      <c r="M8" s="40">
        <f t="shared" si="1"/>
        <v>8000</v>
      </c>
      <c r="N8" s="26">
        <f t="shared" si="2"/>
        <v>8000</v>
      </c>
      <c r="O8" s="41">
        <f t="shared" si="3"/>
        <v>8000</v>
      </c>
      <c r="P8" s="57">
        <f t="shared" si="4"/>
        <v>24000</v>
      </c>
    </row>
    <row r="9" spans="1:19" s="6" customFormat="1" ht="19.05" customHeight="1">
      <c r="A9" s="416"/>
      <c r="B9" s="416"/>
      <c r="C9" s="416"/>
      <c r="D9" s="36" t="s">
        <v>31</v>
      </c>
      <c r="E9" s="9" t="s">
        <v>32</v>
      </c>
      <c r="F9" s="9">
        <v>10</v>
      </c>
      <c r="G9" s="9">
        <f>4*5</f>
        <v>20</v>
      </c>
      <c r="H9" s="9">
        <v>30</v>
      </c>
      <c r="I9" s="29">
        <f t="shared" si="0"/>
        <v>6000</v>
      </c>
      <c r="J9" s="40" t="s">
        <v>25</v>
      </c>
      <c r="K9" s="26" t="s">
        <v>25</v>
      </c>
      <c r="L9" s="41" t="s">
        <v>25</v>
      </c>
      <c r="M9" s="40">
        <f t="shared" si="1"/>
        <v>2000</v>
      </c>
      <c r="N9" s="26">
        <f t="shared" si="2"/>
        <v>2000</v>
      </c>
      <c r="O9" s="41">
        <f t="shared" si="3"/>
        <v>2000</v>
      </c>
      <c r="P9" s="57">
        <f t="shared" si="4"/>
        <v>6000</v>
      </c>
      <c r="Q9" s="21"/>
    </row>
    <row r="10" spans="1:19" s="6" customFormat="1" ht="34.049999999999997" customHeight="1">
      <c r="A10" s="416"/>
      <c r="B10" s="416"/>
      <c r="C10" s="123" t="s">
        <v>33</v>
      </c>
      <c r="D10" s="36" t="s">
        <v>23</v>
      </c>
      <c r="E10" s="9" t="s">
        <v>27</v>
      </c>
      <c r="F10" s="9">
        <v>2</v>
      </c>
      <c r="G10" s="9">
        <v>5</v>
      </c>
      <c r="H10" s="9">
        <v>300</v>
      </c>
      <c r="I10" s="29">
        <f t="shared" si="0"/>
        <v>3000</v>
      </c>
      <c r="J10" s="40" t="s">
        <v>25</v>
      </c>
      <c r="K10" s="26" t="s">
        <v>25</v>
      </c>
      <c r="L10" s="41" t="s">
        <v>25</v>
      </c>
      <c r="M10" s="40">
        <f t="shared" si="1"/>
        <v>1000</v>
      </c>
      <c r="N10" s="26">
        <f t="shared" si="2"/>
        <v>1000</v>
      </c>
      <c r="O10" s="41">
        <f t="shared" si="3"/>
        <v>1000</v>
      </c>
      <c r="P10" s="57">
        <f t="shared" si="4"/>
        <v>3000</v>
      </c>
    </row>
    <row r="11" spans="1:19" s="6" customFormat="1" ht="35.25" customHeight="1">
      <c r="A11" s="416"/>
      <c r="B11" s="416"/>
      <c r="C11" s="123" t="s">
        <v>34</v>
      </c>
      <c r="D11" s="36" t="s">
        <v>23</v>
      </c>
      <c r="E11" s="9" t="s">
        <v>35</v>
      </c>
      <c r="F11" s="9">
        <v>3</v>
      </c>
      <c r="G11" s="9">
        <f>4</f>
        <v>4</v>
      </c>
      <c r="H11" s="9">
        <v>300</v>
      </c>
      <c r="I11" s="29">
        <f t="shared" si="0"/>
        <v>3600</v>
      </c>
      <c r="J11" s="40" t="s">
        <v>25</v>
      </c>
      <c r="K11" s="26" t="s">
        <v>25</v>
      </c>
      <c r="L11" s="41" t="s">
        <v>25</v>
      </c>
      <c r="M11" s="40">
        <f t="shared" si="1"/>
        <v>1200</v>
      </c>
      <c r="N11" s="26">
        <f t="shared" si="2"/>
        <v>1200</v>
      </c>
      <c r="O11" s="41">
        <f t="shared" si="3"/>
        <v>1200</v>
      </c>
      <c r="P11" s="57">
        <f t="shared" si="4"/>
        <v>3600</v>
      </c>
    </row>
    <row r="12" spans="1:19" s="6" customFormat="1" ht="19.05" customHeight="1">
      <c r="A12" s="416"/>
      <c r="B12" s="416"/>
      <c r="C12" s="123" t="s">
        <v>36</v>
      </c>
      <c r="D12" s="36" t="s">
        <v>23</v>
      </c>
      <c r="E12" s="9" t="s">
        <v>27</v>
      </c>
      <c r="F12" s="9">
        <v>2</v>
      </c>
      <c r="G12" s="9">
        <v>10</v>
      </c>
      <c r="H12" s="9">
        <v>400</v>
      </c>
      <c r="I12" s="29">
        <f t="shared" si="0"/>
        <v>8000</v>
      </c>
      <c r="J12" s="40" t="s">
        <v>25</v>
      </c>
      <c r="K12" s="26" t="s">
        <v>25</v>
      </c>
      <c r="L12" s="41" t="s">
        <v>25</v>
      </c>
      <c r="M12" s="40">
        <f t="shared" si="1"/>
        <v>2666.6666666666665</v>
      </c>
      <c r="N12" s="26">
        <f t="shared" si="2"/>
        <v>2666.6666666666665</v>
      </c>
      <c r="O12" s="41">
        <f t="shared" si="3"/>
        <v>2666.6666666666665</v>
      </c>
      <c r="P12" s="57">
        <f t="shared" si="4"/>
        <v>8000</v>
      </c>
    </row>
    <row r="13" spans="1:19" s="6" customFormat="1" ht="19.05" customHeight="1" thickBot="1">
      <c r="A13" s="416"/>
      <c r="B13" s="416"/>
      <c r="C13" s="124" t="s">
        <v>37</v>
      </c>
      <c r="D13" s="122" t="s">
        <v>23</v>
      </c>
      <c r="E13" s="58" t="s">
        <v>27</v>
      </c>
      <c r="F13" s="58">
        <v>2</v>
      </c>
      <c r="G13" s="58">
        <v>10</v>
      </c>
      <c r="H13" s="58">
        <v>400</v>
      </c>
      <c r="I13" s="77">
        <f t="shared" si="0"/>
        <v>8000</v>
      </c>
      <c r="J13" s="61" t="s">
        <v>25</v>
      </c>
      <c r="K13" s="59" t="s">
        <v>25</v>
      </c>
      <c r="L13" s="62" t="s">
        <v>25</v>
      </c>
      <c r="M13" s="61">
        <f t="shared" si="1"/>
        <v>2666.6666666666665</v>
      </c>
      <c r="N13" s="59">
        <f t="shared" si="2"/>
        <v>2666.6666666666665</v>
      </c>
      <c r="O13" s="62">
        <f t="shared" si="3"/>
        <v>2666.6666666666665</v>
      </c>
      <c r="P13" s="63">
        <f t="shared" si="4"/>
        <v>8000</v>
      </c>
    </row>
    <row r="14" spans="1:19" s="6" customFormat="1" ht="16.95" customHeight="1" thickBot="1">
      <c r="A14" s="441"/>
      <c r="B14" s="441"/>
      <c r="C14" s="132"/>
      <c r="D14" s="118"/>
      <c r="E14" s="64"/>
      <c r="F14" s="64"/>
      <c r="G14" s="64"/>
      <c r="H14" s="64"/>
      <c r="I14" s="78">
        <f>SUM(I4:I13)</f>
        <v>75800</v>
      </c>
      <c r="J14" s="466" t="s">
        <v>38</v>
      </c>
      <c r="K14" s="423"/>
      <c r="L14" s="424"/>
      <c r="M14" s="65">
        <f>SUM(M4:M13)</f>
        <v>33266.666666666672</v>
      </c>
      <c r="N14" s="64">
        <f>SUM(N4:N13)</f>
        <v>21266.666666666668</v>
      </c>
      <c r="O14" s="66">
        <f>SUM(O4:O13)</f>
        <v>21266.666666666668</v>
      </c>
      <c r="P14" s="67">
        <f t="shared" si="4"/>
        <v>75800.000000000015</v>
      </c>
    </row>
    <row r="15" spans="1:19" s="6" customFormat="1" ht="36" customHeight="1">
      <c r="A15" s="460" t="s">
        <v>39</v>
      </c>
      <c r="B15" s="460" t="s">
        <v>40</v>
      </c>
      <c r="C15" s="133" t="s">
        <v>41</v>
      </c>
      <c r="D15" s="50" t="s">
        <v>23</v>
      </c>
      <c r="E15" s="46" t="s">
        <v>35</v>
      </c>
      <c r="F15" s="46">
        <v>3</v>
      </c>
      <c r="G15" s="46">
        <v>10</v>
      </c>
      <c r="H15" s="46">
        <v>400</v>
      </c>
      <c r="I15" s="76">
        <f t="shared" ref="I15:I27" si="5">F15*G15*H15</f>
        <v>12000</v>
      </c>
      <c r="J15" s="48" t="s">
        <v>25</v>
      </c>
      <c r="K15" s="33"/>
      <c r="L15" s="49"/>
      <c r="M15" s="48">
        <f t="shared" ref="M15:M27" si="6">IF(AND($J15&gt;0,$K15&gt;0,$L15&gt;0),$I15/3,IF(AND($J15&gt;0,$K15&gt;0),$I15/2,IF(AND(J15="",OR($K15&gt;0,$L15&gt;0)),"",$I15)))</f>
        <v>12000</v>
      </c>
      <c r="N15" s="33" t="str">
        <f t="shared" ref="N15:N27" si="7">IF(AND($J15&gt;0,$K15&gt;0,$L15&gt;0),$I15/3,IF(AND($J15&gt;0,$K15&gt;0),$I15/2,IF(AND($J15="",$K15&gt;0),$I15,"")))</f>
        <v/>
      </c>
      <c r="O15" s="49" t="str">
        <f t="shared" ref="O15:O27" si="8">IF(AND($J15&gt;0,$K15&gt;0,$L15&gt;0),$I15/3,IF(AND(J15="",$K15&gt;0,$L15&gt;0),$I15/2,IF(AND($J15="",$K15="",L15&gt;0),$I15,"")))</f>
        <v/>
      </c>
      <c r="P15" s="56">
        <f t="shared" si="4"/>
        <v>12000</v>
      </c>
      <c r="Q15" s="20"/>
    </row>
    <row r="16" spans="1:19" s="6" customFormat="1" ht="33" customHeight="1">
      <c r="A16" s="416"/>
      <c r="B16" s="416"/>
      <c r="C16" s="415" t="s">
        <v>42</v>
      </c>
      <c r="D16" s="36" t="s">
        <v>23</v>
      </c>
      <c r="E16" s="9" t="s">
        <v>27</v>
      </c>
      <c r="F16" s="9">
        <v>2</v>
      </c>
      <c r="G16" s="9">
        <v>10</v>
      </c>
      <c r="H16" s="9">
        <v>400</v>
      </c>
      <c r="I16" s="29">
        <f t="shared" si="5"/>
        <v>8000</v>
      </c>
      <c r="J16" s="40" t="s">
        <v>25</v>
      </c>
      <c r="K16" s="26"/>
      <c r="L16" s="41"/>
      <c r="M16" s="40">
        <f t="shared" si="6"/>
        <v>8000</v>
      </c>
      <c r="N16" s="26" t="str">
        <f t="shared" si="7"/>
        <v/>
      </c>
      <c r="O16" s="41" t="str">
        <f t="shared" si="8"/>
        <v/>
      </c>
      <c r="P16" s="57">
        <f t="shared" si="4"/>
        <v>8000</v>
      </c>
    </row>
    <row r="17" spans="1:16" s="6" customFormat="1" ht="33" customHeight="1">
      <c r="A17" s="416"/>
      <c r="B17" s="416"/>
      <c r="C17" s="416"/>
      <c r="D17" s="36" t="s">
        <v>31</v>
      </c>
      <c r="E17" s="9" t="s">
        <v>43</v>
      </c>
      <c r="F17" s="9">
        <v>30</v>
      </c>
      <c r="G17" s="9">
        <v>5</v>
      </c>
      <c r="H17" s="9">
        <v>30</v>
      </c>
      <c r="I17" s="29">
        <f t="shared" si="5"/>
        <v>4500</v>
      </c>
      <c r="J17" s="40" t="s">
        <v>25</v>
      </c>
      <c r="K17" s="26"/>
      <c r="L17" s="41"/>
      <c r="M17" s="40">
        <f t="shared" si="6"/>
        <v>4500</v>
      </c>
      <c r="N17" s="26" t="str">
        <f t="shared" si="7"/>
        <v/>
      </c>
      <c r="O17" s="41" t="str">
        <f t="shared" si="8"/>
        <v/>
      </c>
      <c r="P17" s="57">
        <f t="shared" si="4"/>
        <v>4500</v>
      </c>
    </row>
    <row r="18" spans="1:16" s="6" customFormat="1" ht="49.05" customHeight="1">
      <c r="A18" s="416"/>
      <c r="B18" s="416"/>
      <c r="C18" s="123" t="s">
        <v>44</v>
      </c>
      <c r="D18" s="36" t="s">
        <v>23</v>
      </c>
      <c r="E18" s="9" t="s">
        <v>35</v>
      </c>
      <c r="F18" s="9">
        <v>3</v>
      </c>
      <c r="G18" s="9">
        <v>15</v>
      </c>
      <c r="H18" s="9">
        <v>300</v>
      </c>
      <c r="I18" s="29">
        <f t="shared" si="5"/>
        <v>13500</v>
      </c>
      <c r="J18" s="40" t="s">
        <v>25</v>
      </c>
      <c r="K18" s="26"/>
      <c r="L18" s="41"/>
      <c r="M18" s="40">
        <f t="shared" si="6"/>
        <v>13500</v>
      </c>
      <c r="N18" s="26" t="str">
        <f t="shared" si="7"/>
        <v/>
      </c>
      <c r="O18" s="41" t="str">
        <f t="shared" si="8"/>
        <v/>
      </c>
      <c r="P18" s="57">
        <f t="shared" si="4"/>
        <v>13500</v>
      </c>
    </row>
    <row r="19" spans="1:16" s="6" customFormat="1" ht="16.95" customHeight="1">
      <c r="A19" s="416"/>
      <c r="B19" s="416"/>
      <c r="C19" s="123" t="s">
        <v>45</v>
      </c>
      <c r="D19" s="36" t="s">
        <v>23</v>
      </c>
      <c r="E19" s="9" t="s">
        <v>4</v>
      </c>
      <c r="F19" s="9">
        <v>2</v>
      </c>
      <c r="G19" s="9">
        <v>21</v>
      </c>
      <c r="H19" s="9">
        <v>400</v>
      </c>
      <c r="I19" s="29">
        <f t="shared" si="5"/>
        <v>16800</v>
      </c>
      <c r="J19" s="40" t="s">
        <v>25</v>
      </c>
      <c r="K19" s="26"/>
      <c r="L19" s="41"/>
      <c r="M19" s="40">
        <f t="shared" si="6"/>
        <v>16800</v>
      </c>
      <c r="N19" s="26" t="str">
        <f t="shared" si="7"/>
        <v/>
      </c>
      <c r="O19" s="41" t="str">
        <f t="shared" si="8"/>
        <v/>
      </c>
      <c r="P19" s="57">
        <f t="shared" si="4"/>
        <v>16800</v>
      </c>
    </row>
    <row r="20" spans="1:16" s="6" customFormat="1" ht="16.95" customHeight="1">
      <c r="A20" s="416"/>
      <c r="B20" s="416"/>
      <c r="C20" s="123" t="s">
        <v>46</v>
      </c>
      <c r="D20" s="36" t="s">
        <v>23</v>
      </c>
      <c r="E20" s="9" t="s">
        <v>35</v>
      </c>
      <c r="F20" s="9">
        <v>3</v>
      </c>
      <c r="G20" s="9">
        <v>21</v>
      </c>
      <c r="H20" s="9">
        <v>300</v>
      </c>
      <c r="I20" s="29">
        <f t="shared" si="5"/>
        <v>18900</v>
      </c>
      <c r="J20" s="40" t="s">
        <v>25</v>
      </c>
      <c r="K20" s="26"/>
      <c r="L20" s="41"/>
      <c r="M20" s="40">
        <f t="shared" si="6"/>
        <v>18900</v>
      </c>
      <c r="N20" s="26" t="str">
        <f t="shared" si="7"/>
        <v/>
      </c>
      <c r="O20" s="41" t="str">
        <f t="shared" si="8"/>
        <v/>
      </c>
      <c r="P20" s="57">
        <f t="shared" si="4"/>
        <v>18900</v>
      </c>
    </row>
    <row r="21" spans="1:16" s="6" customFormat="1" ht="16.95" customHeight="1">
      <c r="A21" s="416"/>
      <c r="B21" s="416"/>
      <c r="C21" s="123" t="s">
        <v>47</v>
      </c>
      <c r="D21" s="36" t="s">
        <v>23</v>
      </c>
      <c r="E21" s="9" t="s">
        <v>4</v>
      </c>
      <c r="F21" s="9">
        <v>2</v>
      </c>
      <c r="G21" s="9">
        <v>21</v>
      </c>
      <c r="H21" s="9">
        <v>300</v>
      </c>
      <c r="I21" s="29">
        <f t="shared" si="5"/>
        <v>12600</v>
      </c>
      <c r="J21" s="40" t="s">
        <v>25</v>
      </c>
      <c r="K21" s="26"/>
      <c r="L21" s="41"/>
      <c r="M21" s="40">
        <f t="shared" si="6"/>
        <v>12600</v>
      </c>
      <c r="N21" s="26" t="str">
        <f t="shared" si="7"/>
        <v/>
      </c>
      <c r="O21" s="41" t="str">
        <f t="shared" si="8"/>
        <v/>
      </c>
      <c r="P21" s="57">
        <f t="shared" si="4"/>
        <v>12600</v>
      </c>
    </row>
    <row r="22" spans="1:16" s="6" customFormat="1" ht="31.05" customHeight="1">
      <c r="A22" s="416"/>
      <c r="B22" s="416"/>
      <c r="C22" s="415" t="s">
        <v>48</v>
      </c>
      <c r="D22" s="36" t="s">
        <v>23</v>
      </c>
      <c r="E22" s="9" t="s">
        <v>35</v>
      </c>
      <c r="F22" s="9">
        <v>3</v>
      </c>
      <c r="G22" s="9">
        <v>10</v>
      </c>
      <c r="H22" s="9">
        <v>400</v>
      </c>
      <c r="I22" s="29">
        <f t="shared" si="5"/>
        <v>12000</v>
      </c>
      <c r="J22" s="82"/>
      <c r="K22" s="26" t="s">
        <v>25</v>
      </c>
      <c r="L22" s="41"/>
      <c r="M22" s="40" t="str">
        <f t="shared" si="6"/>
        <v/>
      </c>
      <c r="N22" s="26">
        <f t="shared" si="7"/>
        <v>12000</v>
      </c>
      <c r="O22" s="41" t="str">
        <f t="shared" si="8"/>
        <v/>
      </c>
      <c r="P22" s="57">
        <f t="shared" si="4"/>
        <v>12000</v>
      </c>
    </row>
    <row r="23" spans="1:16" s="6" customFormat="1" ht="16.05" customHeight="1">
      <c r="A23" s="416"/>
      <c r="B23" s="416"/>
      <c r="C23" s="416"/>
      <c r="D23" s="36" t="s">
        <v>31</v>
      </c>
      <c r="E23" s="9" t="s">
        <v>43</v>
      </c>
      <c r="F23" s="9">
        <f>52*2+30</f>
        <v>134</v>
      </c>
      <c r="G23" s="9">
        <v>10</v>
      </c>
      <c r="H23" s="9">
        <v>30</v>
      </c>
      <c r="I23" s="29">
        <f t="shared" si="5"/>
        <v>40200</v>
      </c>
      <c r="J23" s="40"/>
      <c r="K23" s="26" t="s">
        <v>25</v>
      </c>
      <c r="L23" s="41"/>
      <c r="M23" s="40" t="str">
        <f t="shared" si="6"/>
        <v/>
      </c>
      <c r="N23" s="26">
        <f t="shared" si="7"/>
        <v>40200</v>
      </c>
      <c r="O23" s="41" t="str">
        <f t="shared" si="8"/>
        <v/>
      </c>
      <c r="P23" s="57">
        <f t="shared" si="4"/>
        <v>40200</v>
      </c>
    </row>
    <row r="24" spans="1:16" s="6" customFormat="1" ht="16.95" customHeight="1">
      <c r="A24" s="416"/>
      <c r="B24" s="416"/>
      <c r="C24" s="123" t="s">
        <v>49</v>
      </c>
      <c r="D24" s="36" t="s">
        <v>23</v>
      </c>
      <c r="E24" s="9" t="s">
        <v>35</v>
      </c>
      <c r="F24" s="9">
        <v>3</v>
      </c>
      <c r="G24" s="9">
        <v>5</v>
      </c>
      <c r="H24" s="9">
        <v>400</v>
      </c>
      <c r="I24" s="29">
        <f t="shared" si="5"/>
        <v>6000</v>
      </c>
      <c r="J24" s="40"/>
      <c r="K24" s="26" t="s">
        <v>25</v>
      </c>
      <c r="L24" s="41"/>
      <c r="M24" s="40" t="str">
        <f t="shared" si="6"/>
        <v/>
      </c>
      <c r="N24" s="26">
        <f t="shared" si="7"/>
        <v>6000</v>
      </c>
      <c r="O24" s="41" t="str">
        <f t="shared" si="8"/>
        <v/>
      </c>
      <c r="P24" s="57">
        <f t="shared" si="4"/>
        <v>6000</v>
      </c>
    </row>
    <row r="25" spans="1:16" s="6" customFormat="1" ht="16.95" customHeight="1">
      <c r="A25" s="416"/>
      <c r="B25" s="416"/>
      <c r="C25" s="123" t="s">
        <v>50</v>
      </c>
      <c r="D25" s="36" t="s">
        <v>23</v>
      </c>
      <c r="E25" s="9" t="s">
        <v>27</v>
      </c>
      <c r="F25" s="9">
        <v>2</v>
      </c>
      <c r="G25" s="9">
        <v>10</v>
      </c>
      <c r="H25" s="9">
        <v>400</v>
      </c>
      <c r="I25" s="29">
        <f t="shared" si="5"/>
        <v>8000</v>
      </c>
      <c r="J25" s="40"/>
      <c r="K25" s="26" t="s">
        <v>25</v>
      </c>
      <c r="L25" s="41"/>
      <c r="M25" s="40" t="str">
        <f t="shared" si="6"/>
        <v/>
      </c>
      <c r="N25" s="26">
        <f t="shared" si="7"/>
        <v>8000</v>
      </c>
      <c r="O25" s="41" t="str">
        <f t="shared" si="8"/>
        <v/>
      </c>
      <c r="P25" s="57">
        <f t="shared" si="4"/>
        <v>8000</v>
      </c>
    </row>
    <row r="26" spans="1:16" s="6" customFormat="1" ht="16.95" customHeight="1">
      <c r="A26" s="416"/>
      <c r="B26" s="416"/>
      <c r="C26" s="123" t="s">
        <v>51</v>
      </c>
      <c r="D26" s="36" t="s">
        <v>23</v>
      </c>
      <c r="E26" s="9" t="s">
        <v>35</v>
      </c>
      <c r="F26" s="9">
        <v>3</v>
      </c>
      <c r="G26" s="9">
        <f>4*8</f>
        <v>32</v>
      </c>
      <c r="H26" s="9">
        <v>400</v>
      </c>
      <c r="I26" s="29">
        <f t="shared" si="5"/>
        <v>38400</v>
      </c>
      <c r="J26" s="40"/>
      <c r="K26" s="26" t="s">
        <v>25</v>
      </c>
      <c r="L26" s="41"/>
      <c r="M26" s="40" t="str">
        <f t="shared" si="6"/>
        <v/>
      </c>
      <c r="N26" s="26">
        <f t="shared" si="7"/>
        <v>38400</v>
      </c>
      <c r="O26" s="41" t="str">
        <f t="shared" si="8"/>
        <v/>
      </c>
      <c r="P26" s="57">
        <f t="shared" si="4"/>
        <v>38400</v>
      </c>
    </row>
    <row r="27" spans="1:16" s="6" customFormat="1" ht="34.950000000000003" customHeight="1" thickBot="1">
      <c r="A27" s="416"/>
      <c r="B27" s="416"/>
      <c r="C27" s="134" t="s">
        <v>52</v>
      </c>
      <c r="D27" s="125" t="s">
        <v>23</v>
      </c>
      <c r="E27" s="91" t="s">
        <v>27</v>
      </c>
      <c r="F27" s="91">
        <v>2</v>
      </c>
      <c r="G27" s="91">
        <v>21</v>
      </c>
      <c r="H27" s="91">
        <v>400</v>
      </c>
      <c r="I27" s="92">
        <f t="shared" si="5"/>
        <v>16800</v>
      </c>
      <c r="J27" s="93"/>
      <c r="K27" s="94" t="s">
        <v>25</v>
      </c>
      <c r="L27" s="95"/>
      <c r="M27" s="93" t="str">
        <f t="shared" si="6"/>
        <v/>
      </c>
      <c r="N27" s="94">
        <f t="shared" si="7"/>
        <v>16800</v>
      </c>
      <c r="O27" s="95" t="str">
        <f t="shared" si="8"/>
        <v/>
      </c>
      <c r="P27" s="96">
        <f t="shared" si="4"/>
        <v>16800</v>
      </c>
    </row>
    <row r="28" spans="1:16" s="6" customFormat="1" ht="16.95" customHeight="1" thickBot="1">
      <c r="A28" s="461"/>
      <c r="B28" s="461"/>
      <c r="C28" s="135"/>
      <c r="D28" s="128"/>
      <c r="E28" s="108"/>
      <c r="F28" s="98"/>
      <c r="G28" s="98"/>
      <c r="H28" s="98"/>
      <c r="I28" s="99">
        <f>SUM(I15:I27)</f>
        <v>207700</v>
      </c>
      <c r="J28" s="466" t="s">
        <v>38</v>
      </c>
      <c r="K28" s="423"/>
      <c r="L28" s="424"/>
      <c r="M28" s="97">
        <f>SUM(M15:M27)</f>
        <v>86300</v>
      </c>
      <c r="N28" s="98">
        <f>SUM(N15:N27)</f>
        <v>121400</v>
      </c>
      <c r="O28" s="100">
        <f>SUM(O15:O27)</f>
        <v>0</v>
      </c>
      <c r="P28" s="101">
        <f t="shared" si="4"/>
        <v>207700</v>
      </c>
    </row>
    <row r="29" spans="1:16" s="6" customFormat="1" ht="16.95" customHeight="1">
      <c r="A29" s="462" t="s">
        <v>53</v>
      </c>
      <c r="B29" s="463" t="s">
        <v>39</v>
      </c>
      <c r="C29" s="136" t="s">
        <v>54</v>
      </c>
      <c r="D29" s="129" t="s">
        <v>23</v>
      </c>
      <c r="E29" s="71" t="s">
        <v>55</v>
      </c>
      <c r="F29" s="71">
        <v>3</v>
      </c>
      <c r="G29" s="71">
        <v>10</v>
      </c>
      <c r="H29" s="71">
        <v>400</v>
      </c>
      <c r="I29" s="79">
        <f t="shared" ref="I29:I39" si="9">F29*G29*H29</f>
        <v>12000</v>
      </c>
      <c r="J29" s="83" t="s">
        <v>25</v>
      </c>
      <c r="K29" s="73"/>
      <c r="L29" s="84"/>
      <c r="M29" s="37">
        <f t="shared" ref="M29:M39" si="10">IF(AND($J29&gt;0,$K29&gt;0,$L29&gt;0),$I29/3,IF(AND($J29&gt;0,$K29&gt;0),$I29/2,IF(AND(J29="",OR($K29&gt;0,$L29&gt;0)),"",$I29)))</f>
        <v>12000</v>
      </c>
      <c r="N29" s="38" t="str">
        <f t="shared" ref="N29:N39" si="11">IF(AND($J29&gt;0,$K29&gt;0,$L29&gt;0),$I29/3,IF(AND($J29&gt;0,$K29&gt;0),$I29/2,IF(AND($J29="",$K29&gt;0),$I29,"")))</f>
        <v/>
      </c>
      <c r="O29" s="39" t="str">
        <f t="shared" ref="O29:O39" si="12">IF(AND($J29&gt;0,$K29&gt;0,$L29&gt;0),$I29/3,IF(AND(J29="",$K29&gt;0,$L29&gt;0),$I29/2,IF(AND($J29="",$K29="",L29&gt;0),$I29,"")))</f>
        <v/>
      </c>
      <c r="P29" s="74">
        <f t="shared" si="4"/>
        <v>12000</v>
      </c>
    </row>
    <row r="30" spans="1:16" s="6" customFormat="1" ht="16.05" customHeight="1">
      <c r="A30" s="416"/>
      <c r="B30" s="416"/>
      <c r="C30" s="421" t="s">
        <v>56</v>
      </c>
      <c r="D30" s="130" t="s">
        <v>23</v>
      </c>
      <c r="E30" s="25" t="s">
        <v>35</v>
      </c>
      <c r="F30" s="25">
        <v>3</v>
      </c>
      <c r="G30" s="25">
        <v>21</v>
      </c>
      <c r="H30" s="25">
        <v>400</v>
      </c>
      <c r="I30" s="29">
        <f t="shared" si="9"/>
        <v>25200</v>
      </c>
      <c r="J30" s="85" t="s">
        <v>25</v>
      </c>
      <c r="K30" s="27"/>
      <c r="L30" s="86"/>
      <c r="M30" s="40">
        <f t="shared" si="10"/>
        <v>25200</v>
      </c>
      <c r="N30" s="26" t="str">
        <f t="shared" si="11"/>
        <v/>
      </c>
      <c r="O30" s="41" t="str">
        <f t="shared" si="12"/>
        <v/>
      </c>
      <c r="P30" s="57">
        <f t="shared" si="4"/>
        <v>25200</v>
      </c>
    </row>
    <row r="31" spans="1:16" s="6" customFormat="1" ht="16.05" customHeight="1">
      <c r="A31" s="416"/>
      <c r="B31" s="416"/>
      <c r="C31" s="418"/>
      <c r="D31" s="130" t="s">
        <v>31</v>
      </c>
      <c r="E31" s="25" t="s">
        <v>32</v>
      </c>
      <c r="F31" s="25">
        <v>20</v>
      </c>
      <c r="G31" s="25">
        <v>10</v>
      </c>
      <c r="H31" s="25">
        <v>50</v>
      </c>
      <c r="I31" s="29">
        <f t="shared" si="9"/>
        <v>10000</v>
      </c>
      <c r="J31" s="85" t="s">
        <v>25</v>
      </c>
      <c r="K31" s="27"/>
      <c r="L31" s="86"/>
      <c r="M31" s="40">
        <f t="shared" si="10"/>
        <v>10000</v>
      </c>
      <c r="N31" s="26" t="str">
        <f t="shared" si="11"/>
        <v/>
      </c>
      <c r="O31" s="41" t="str">
        <f t="shared" si="12"/>
        <v/>
      </c>
      <c r="P31" s="57">
        <f t="shared" si="4"/>
        <v>10000</v>
      </c>
    </row>
    <row r="32" spans="1:16" s="6" customFormat="1" ht="34.049999999999997" customHeight="1">
      <c r="A32" s="416"/>
      <c r="B32" s="416"/>
      <c r="C32" s="137" t="s">
        <v>57</v>
      </c>
      <c r="D32" s="130" t="s">
        <v>23</v>
      </c>
      <c r="E32" s="25" t="s">
        <v>58</v>
      </c>
      <c r="F32" s="25">
        <v>1</v>
      </c>
      <c r="G32" s="25">
        <v>21</v>
      </c>
      <c r="H32" s="25">
        <v>400</v>
      </c>
      <c r="I32" s="29">
        <f t="shared" si="9"/>
        <v>8400</v>
      </c>
      <c r="J32" s="85" t="s">
        <v>25</v>
      </c>
      <c r="K32" s="27"/>
      <c r="L32" s="86"/>
      <c r="M32" s="40">
        <f t="shared" si="10"/>
        <v>8400</v>
      </c>
      <c r="N32" s="26" t="str">
        <f t="shared" si="11"/>
        <v/>
      </c>
      <c r="O32" s="41" t="str">
        <f t="shared" si="12"/>
        <v/>
      </c>
      <c r="P32" s="57">
        <f t="shared" si="4"/>
        <v>8400</v>
      </c>
    </row>
    <row r="33" spans="1:16" s="6" customFormat="1" ht="34.049999999999997" customHeight="1">
      <c r="A33" s="416"/>
      <c r="B33" s="416"/>
      <c r="C33" s="137" t="s">
        <v>59</v>
      </c>
      <c r="D33" s="130" t="s">
        <v>23</v>
      </c>
      <c r="E33" s="25" t="s">
        <v>35</v>
      </c>
      <c r="F33" s="25">
        <v>3</v>
      </c>
      <c r="G33" s="25">
        <v>21</v>
      </c>
      <c r="H33" s="25">
        <v>400</v>
      </c>
      <c r="I33" s="29">
        <f t="shared" si="9"/>
        <v>25200</v>
      </c>
      <c r="J33" s="85" t="s">
        <v>25</v>
      </c>
      <c r="K33" s="27"/>
      <c r="L33" s="86"/>
      <c r="M33" s="40">
        <f t="shared" si="10"/>
        <v>25200</v>
      </c>
      <c r="N33" s="26" t="str">
        <f t="shared" si="11"/>
        <v/>
      </c>
      <c r="O33" s="41" t="str">
        <f t="shared" si="12"/>
        <v/>
      </c>
      <c r="P33" s="57">
        <f t="shared" si="4"/>
        <v>25200</v>
      </c>
    </row>
    <row r="34" spans="1:16" s="6" customFormat="1" ht="16.95" customHeight="1">
      <c r="A34" s="416"/>
      <c r="B34" s="416"/>
      <c r="C34" s="137" t="s">
        <v>60</v>
      </c>
      <c r="D34" s="130" t="s">
        <v>23</v>
      </c>
      <c r="E34" s="25" t="s">
        <v>35</v>
      </c>
      <c r="F34" s="25">
        <v>3</v>
      </c>
      <c r="G34" s="25">
        <v>10</v>
      </c>
      <c r="H34" s="25">
        <v>300</v>
      </c>
      <c r="I34" s="29">
        <f t="shared" si="9"/>
        <v>9000</v>
      </c>
      <c r="J34" s="85" t="s">
        <v>25</v>
      </c>
      <c r="K34" s="27"/>
      <c r="L34" s="86"/>
      <c r="M34" s="40">
        <f t="shared" si="10"/>
        <v>9000</v>
      </c>
      <c r="N34" s="26" t="str">
        <f t="shared" si="11"/>
        <v/>
      </c>
      <c r="O34" s="41" t="str">
        <f t="shared" si="12"/>
        <v/>
      </c>
      <c r="P34" s="57">
        <f t="shared" si="4"/>
        <v>9000</v>
      </c>
    </row>
    <row r="35" spans="1:16" s="6" customFormat="1" ht="16.95" customHeight="1">
      <c r="A35" s="416"/>
      <c r="B35" s="416"/>
      <c r="C35" s="137" t="s">
        <v>61</v>
      </c>
      <c r="D35" s="130" t="s">
        <v>23</v>
      </c>
      <c r="E35" s="25" t="s">
        <v>35</v>
      </c>
      <c r="F35" s="25">
        <v>3</v>
      </c>
      <c r="G35" s="25">
        <v>12</v>
      </c>
      <c r="H35" s="25">
        <v>400</v>
      </c>
      <c r="I35" s="29">
        <f t="shared" si="9"/>
        <v>14400</v>
      </c>
      <c r="J35" s="82"/>
      <c r="K35" s="27" t="s">
        <v>25</v>
      </c>
      <c r="L35" s="86"/>
      <c r="M35" s="40" t="str">
        <f t="shared" si="10"/>
        <v/>
      </c>
      <c r="N35" s="26">
        <f t="shared" si="11"/>
        <v>14400</v>
      </c>
      <c r="O35" s="41" t="str">
        <f t="shared" si="12"/>
        <v/>
      </c>
      <c r="P35" s="57">
        <f t="shared" si="4"/>
        <v>14400</v>
      </c>
    </row>
    <row r="36" spans="1:16" s="6" customFormat="1" ht="16.95" customHeight="1">
      <c r="A36" s="416"/>
      <c r="B36" s="416"/>
      <c r="C36" s="137" t="s">
        <v>62</v>
      </c>
      <c r="D36" s="130" t="s">
        <v>31</v>
      </c>
      <c r="E36" s="25" t="s">
        <v>32</v>
      </c>
      <c r="F36" s="25">
        <v>22</v>
      </c>
      <c r="G36" s="25">
        <v>10</v>
      </c>
      <c r="H36" s="25">
        <v>50</v>
      </c>
      <c r="I36" s="29">
        <f t="shared" si="9"/>
        <v>11000</v>
      </c>
      <c r="J36" s="85"/>
      <c r="K36" s="27" t="s">
        <v>25</v>
      </c>
      <c r="L36" s="86"/>
      <c r="M36" s="40" t="str">
        <f t="shared" si="10"/>
        <v/>
      </c>
      <c r="N36" s="26">
        <f t="shared" si="11"/>
        <v>11000</v>
      </c>
      <c r="O36" s="41" t="str">
        <f t="shared" si="12"/>
        <v/>
      </c>
      <c r="P36" s="57">
        <f t="shared" ref="P36:P67" si="13">SUM(M36:O36)</f>
        <v>11000</v>
      </c>
    </row>
    <row r="37" spans="1:16" s="6" customFormat="1" ht="34.049999999999997" customHeight="1">
      <c r="A37" s="416"/>
      <c r="B37" s="416"/>
      <c r="C37" s="137" t="s">
        <v>63</v>
      </c>
      <c r="D37" s="130" t="s">
        <v>23</v>
      </c>
      <c r="E37" s="25" t="s">
        <v>35</v>
      </c>
      <c r="F37" s="25">
        <v>1</v>
      </c>
      <c r="G37" s="25">
        <v>10</v>
      </c>
      <c r="H37" s="25">
        <v>300</v>
      </c>
      <c r="I37" s="29">
        <f t="shared" si="9"/>
        <v>3000</v>
      </c>
      <c r="J37" s="85"/>
      <c r="K37" s="27" t="s">
        <v>25</v>
      </c>
      <c r="L37" s="86"/>
      <c r="M37" s="40" t="str">
        <f t="shared" si="10"/>
        <v/>
      </c>
      <c r="N37" s="26">
        <f t="shared" si="11"/>
        <v>3000</v>
      </c>
      <c r="O37" s="41" t="str">
        <f t="shared" si="12"/>
        <v/>
      </c>
      <c r="P37" s="57">
        <f t="shared" si="13"/>
        <v>3000</v>
      </c>
    </row>
    <row r="38" spans="1:16" s="6" customFormat="1" ht="34.049999999999997" customHeight="1">
      <c r="A38" s="416"/>
      <c r="B38" s="416"/>
      <c r="C38" s="137" t="s">
        <v>64</v>
      </c>
      <c r="D38" s="130" t="s">
        <v>23</v>
      </c>
      <c r="E38" s="25" t="s">
        <v>35</v>
      </c>
      <c r="F38" s="25">
        <v>2</v>
      </c>
      <c r="G38" s="25">
        <v>10</v>
      </c>
      <c r="H38" s="25">
        <v>400</v>
      </c>
      <c r="I38" s="29">
        <f t="shared" si="9"/>
        <v>8000</v>
      </c>
      <c r="J38" s="85"/>
      <c r="K38" s="27" t="s">
        <v>25</v>
      </c>
      <c r="L38" s="86"/>
      <c r="M38" s="40" t="str">
        <f t="shared" si="10"/>
        <v/>
      </c>
      <c r="N38" s="26">
        <f t="shared" si="11"/>
        <v>8000</v>
      </c>
      <c r="O38" s="41" t="str">
        <f t="shared" si="12"/>
        <v/>
      </c>
      <c r="P38" s="57">
        <f t="shared" si="13"/>
        <v>8000</v>
      </c>
    </row>
    <row r="39" spans="1:16" s="6" customFormat="1" ht="18" customHeight="1" thickBot="1">
      <c r="A39" s="416"/>
      <c r="B39" s="416"/>
      <c r="C39" s="138" t="s">
        <v>65</v>
      </c>
      <c r="D39" s="131" t="s">
        <v>23</v>
      </c>
      <c r="E39" s="103" t="s">
        <v>66</v>
      </c>
      <c r="F39" s="103">
        <v>2</v>
      </c>
      <c r="G39" s="103">
        <v>18</v>
      </c>
      <c r="H39" s="103">
        <v>300</v>
      </c>
      <c r="I39" s="92">
        <f t="shared" si="9"/>
        <v>10800</v>
      </c>
      <c r="J39" s="105"/>
      <c r="K39" s="106" t="s">
        <v>25</v>
      </c>
      <c r="L39" s="107"/>
      <c r="M39" s="93" t="str">
        <f t="shared" si="10"/>
        <v/>
      </c>
      <c r="N39" s="94">
        <f t="shared" si="11"/>
        <v>10800</v>
      </c>
      <c r="O39" s="95" t="str">
        <f t="shared" si="12"/>
        <v/>
      </c>
      <c r="P39" s="96">
        <f t="shared" si="13"/>
        <v>10800</v>
      </c>
    </row>
    <row r="40" spans="1:16" s="6" customFormat="1" ht="15.75" customHeight="1" thickBot="1">
      <c r="A40" s="418"/>
      <c r="B40" s="418"/>
      <c r="C40" s="139" t="s">
        <v>62</v>
      </c>
      <c r="D40" s="109"/>
      <c r="E40" s="98"/>
      <c r="F40" s="98"/>
      <c r="G40" s="98"/>
      <c r="H40" s="98"/>
      <c r="I40" s="99">
        <f>SUM(I29:I39)</f>
        <v>137000</v>
      </c>
      <c r="J40" s="466" t="s">
        <v>38</v>
      </c>
      <c r="K40" s="423"/>
      <c r="L40" s="424"/>
      <c r="M40" s="97">
        <f>SUM(M29:M39)</f>
        <v>89800</v>
      </c>
      <c r="N40" s="98">
        <f>SUM(N29:N39)</f>
        <v>47200</v>
      </c>
      <c r="O40" s="100">
        <f>SUM(O29:O39)</f>
        <v>0</v>
      </c>
      <c r="P40" s="101">
        <f t="shared" si="13"/>
        <v>137000</v>
      </c>
    </row>
    <row r="41" spans="1:16" s="6" customFormat="1" ht="15.75" customHeight="1">
      <c r="A41" s="464" t="s">
        <v>67</v>
      </c>
      <c r="B41" s="464" t="s">
        <v>68</v>
      </c>
      <c r="C41" s="136" t="s">
        <v>69</v>
      </c>
      <c r="D41" s="140" t="s">
        <v>23</v>
      </c>
      <c r="E41" s="46" t="s">
        <v>70</v>
      </c>
      <c r="F41" s="68">
        <v>5</v>
      </c>
      <c r="G41" s="68">
        <v>5</v>
      </c>
      <c r="H41" s="68">
        <v>300</v>
      </c>
      <c r="I41" s="80">
        <f t="shared" ref="I41:I46" si="14">F41*G41*H41</f>
        <v>7500</v>
      </c>
      <c r="J41" s="87"/>
      <c r="K41" s="69" t="s">
        <v>25</v>
      </c>
      <c r="L41" s="88"/>
      <c r="M41" s="48" t="str">
        <f t="shared" ref="M41:M46" si="15">IF(AND($J41&gt;0,$K41&gt;0,$L41&gt;0),$I41/3,IF(AND($J41&gt;0,$K41&gt;0),$I41/2,IF(AND(J41="",OR($K41&gt;0,$L41&gt;0)),"",$I41)))</f>
        <v/>
      </c>
      <c r="N41" s="33">
        <f t="shared" ref="N41:N46" si="16">IF(AND($J41&gt;0,$K41&gt;0,$L41&gt;0),$I41/3,IF(AND($J41&gt;0,$K41&gt;0),$I41/2,IF(AND($J41="",$K41&gt;0),$I41,"")))</f>
        <v>7500</v>
      </c>
      <c r="O41" s="49" t="str">
        <f t="shared" ref="O41:O46" si="17">IF(AND($J41&gt;0,$K41&gt;0,$L41&gt;0),$I41/3,IF(AND(J41="",$K41&gt;0,$L41&gt;0),$I41/2,IF(AND($J41="",$K41="",L41&gt;0),$I41,"")))</f>
        <v/>
      </c>
      <c r="P41" s="56">
        <f t="shared" si="13"/>
        <v>7500</v>
      </c>
    </row>
    <row r="42" spans="1:16" s="6" customFormat="1" ht="15.75" customHeight="1">
      <c r="A42" s="416"/>
      <c r="B42" s="416"/>
      <c r="C42" s="137" t="s">
        <v>71</v>
      </c>
      <c r="D42" s="130" t="s">
        <v>23</v>
      </c>
      <c r="E42" s="9" t="s">
        <v>72</v>
      </c>
      <c r="F42" s="25">
        <v>4</v>
      </c>
      <c r="G42" s="25">
        <v>10</v>
      </c>
      <c r="H42" s="25">
        <v>300</v>
      </c>
      <c r="I42" s="81">
        <f t="shared" si="14"/>
        <v>12000</v>
      </c>
      <c r="J42" s="85"/>
      <c r="K42" s="27" t="s">
        <v>25</v>
      </c>
      <c r="L42" s="89"/>
      <c r="M42" s="40" t="str">
        <f t="shared" si="15"/>
        <v/>
      </c>
      <c r="N42" s="26">
        <f t="shared" si="16"/>
        <v>12000</v>
      </c>
      <c r="O42" s="41" t="str">
        <f t="shared" si="17"/>
        <v/>
      </c>
      <c r="P42" s="57">
        <f t="shared" si="13"/>
        <v>12000</v>
      </c>
    </row>
    <row r="43" spans="1:16" s="6" customFormat="1" ht="15.75" customHeight="1">
      <c r="A43" s="416"/>
      <c r="B43" s="416"/>
      <c r="C43" s="137" t="s">
        <v>73</v>
      </c>
      <c r="D43" s="130" t="s">
        <v>23</v>
      </c>
      <c r="E43" s="9" t="s">
        <v>72</v>
      </c>
      <c r="F43" s="25">
        <v>4</v>
      </c>
      <c r="G43" s="25">
        <v>14</v>
      </c>
      <c r="H43" s="25">
        <v>300</v>
      </c>
      <c r="I43" s="81">
        <f t="shared" si="14"/>
        <v>16800</v>
      </c>
      <c r="J43" s="40"/>
      <c r="K43" s="27" t="s">
        <v>25</v>
      </c>
      <c r="L43" s="89"/>
      <c r="M43" s="40" t="str">
        <f t="shared" si="15"/>
        <v/>
      </c>
      <c r="N43" s="26">
        <f t="shared" si="16"/>
        <v>16800</v>
      </c>
      <c r="O43" s="41" t="str">
        <f t="shared" si="17"/>
        <v/>
      </c>
      <c r="P43" s="57">
        <f t="shared" si="13"/>
        <v>16800</v>
      </c>
    </row>
    <row r="44" spans="1:16" s="6" customFormat="1" ht="15.75" customHeight="1">
      <c r="A44" s="416"/>
      <c r="B44" s="416"/>
      <c r="C44" s="137" t="s">
        <v>74</v>
      </c>
      <c r="D44" s="130" t="s">
        <v>23</v>
      </c>
      <c r="E44" s="9" t="s">
        <v>72</v>
      </c>
      <c r="F44" s="25">
        <v>4</v>
      </c>
      <c r="G44" s="25">
        <v>14</v>
      </c>
      <c r="H44" s="25">
        <v>300</v>
      </c>
      <c r="I44" s="81">
        <f t="shared" si="14"/>
        <v>16800</v>
      </c>
      <c r="J44" s="90"/>
      <c r="K44" s="27" t="s">
        <v>25</v>
      </c>
      <c r="L44" s="89"/>
      <c r="M44" s="40" t="str">
        <f t="shared" si="15"/>
        <v/>
      </c>
      <c r="N44" s="26">
        <f t="shared" si="16"/>
        <v>16800</v>
      </c>
      <c r="O44" s="41" t="str">
        <f t="shared" si="17"/>
        <v/>
      </c>
      <c r="P44" s="57">
        <f t="shared" si="13"/>
        <v>16800</v>
      </c>
    </row>
    <row r="45" spans="1:16" s="6" customFormat="1" ht="15.75" customHeight="1">
      <c r="A45" s="416"/>
      <c r="B45" s="416"/>
      <c r="C45" s="137" t="s">
        <v>75</v>
      </c>
      <c r="D45" s="130" t="s">
        <v>23</v>
      </c>
      <c r="E45" s="9" t="s">
        <v>72</v>
      </c>
      <c r="F45" s="25">
        <v>4</v>
      </c>
      <c r="G45" s="25">
        <v>3</v>
      </c>
      <c r="H45" s="25">
        <v>300</v>
      </c>
      <c r="I45" s="81">
        <f t="shared" si="14"/>
        <v>3600</v>
      </c>
      <c r="J45" s="90"/>
      <c r="K45" s="27" t="s">
        <v>25</v>
      </c>
      <c r="L45" s="89"/>
      <c r="M45" s="40" t="str">
        <f t="shared" si="15"/>
        <v/>
      </c>
      <c r="N45" s="26">
        <f t="shared" si="16"/>
        <v>3600</v>
      </c>
      <c r="O45" s="41" t="str">
        <f t="shared" si="17"/>
        <v/>
      </c>
      <c r="P45" s="57">
        <f t="shared" si="13"/>
        <v>3600</v>
      </c>
    </row>
    <row r="46" spans="1:16" s="6" customFormat="1" ht="18" customHeight="1" thickBot="1">
      <c r="A46" s="416"/>
      <c r="B46" s="416"/>
      <c r="C46" s="134" t="s">
        <v>76</v>
      </c>
      <c r="D46" s="125" t="s">
        <v>23</v>
      </c>
      <c r="E46" s="91" t="s">
        <v>72</v>
      </c>
      <c r="F46" s="91">
        <v>4</v>
      </c>
      <c r="G46" s="91">
        <v>5</v>
      </c>
      <c r="H46" s="103">
        <v>300</v>
      </c>
      <c r="I46" s="104">
        <f t="shared" si="14"/>
        <v>6000</v>
      </c>
      <c r="J46" s="93"/>
      <c r="K46" s="94" t="s">
        <v>25</v>
      </c>
      <c r="L46" s="95"/>
      <c r="M46" s="93" t="str">
        <f t="shared" si="15"/>
        <v/>
      </c>
      <c r="N46" s="94">
        <f t="shared" si="16"/>
        <v>6000</v>
      </c>
      <c r="O46" s="95" t="str">
        <f t="shared" si="17"/>
        <v/>
      </c>
      <c r="P46" s="96">
        <f t="shared" si="13"/>
        <v>6000</v>
      </c>
    </row>
    <row r="47" spans="1:16" s="6" customFormat="1" ht="16.95" customHeight="1" thickBot="1">
      <c r="A47" s="441"/>
      <c r="B47" s="441"/>
      <c r="C47" s="139"/>
      <c r="D47" s="109"/>
      <c r="E47" s="98"/>
      <c r="F47" s="98"/>
      <c r="G47" s="98"/>
      <c r="H47" s="98"/>
      <c r="I47" s="99">
        <f>SUM(I41:I46)</f>
        <v>62700</v>
      </c>
      <c r="J47" s="466" t="s">
        <v>38</v>
      </c>
      <c r="K47" s="423"/>
      <c r="L47" s="424"/>
      <c r="M47" s="97">
        <f>SUM(M41:M46)</f>
        <v>0</v>
      </c>
      <c r="N47" s="98">
        <f>SUM(N41:N46)</f>
        <v>62700</v>
      </c>
      <c r="O47" s="100">
        <f>SUM(O41:O46)</f>
        <v>0</v>
      </c>
      <c r="P47" s="101">
        <f t="shared" si="13"/>
        <v>62700</v>
      </c>
    </row>
    <row r="48" spans="1:16" s="6" customFormat="1" ht="31.05" customHeight="1">
      <c r="A48" s="465" t="s">
        <v>77</v>
      </c>
      <c r="B48" s="465" t="s">
        <v>78</v>
      </c>
      <c r="C48" s="133" t="s">
        <v>79</v>
      </c>
      <c r="D48" s="50" t="s">
        <v>23</v>
      </c>
      <c r="E48" s="46" t="s">
        <v>72</v>
      </c>
      <c r="F48" s="46">
        <v>2</v>
      </c>
      <c r="G48" s="46">
        <v>14</v>
      </c>
      <c r="H48" s="46">
        <v>400</v>
      </c>
      <c r="I48" s="76">
        <f t="shared" ref="I48:I54" si="18">F48*G48*H48</f>
        <v>11200</v>
      </c>
      <c r="J48" s="48" t="s">
        <v>25</v>
      </c>
      <c r="K48" s="33"/>
      <c r="L48" s="49"/>
      <c r="M48" s="48">
        <f t="shared" ref="M48:M54" si="19">IF(AND($J48&gt;0,$K48&gt;0,$L48&gt;0),$I48/3,IF(AND($J48&gt;0,$K48&gt;0),$I48/2,IF(AND(J48="",OR($K48&gt;0,$L48&gt;0)),"",$I48)))</f>
        <v>11200</v>
      </c>
      <c r="N48" s="33" t="str">
        <f t="shared" ref="N48:N54" si="20">IF(AND($J48&gt;0,$K48&gt;0,$L48&gt;0),$I48/3,IF(AND($J48&gt;0,$K48&gt;0),$I48/2,IF(AND($J48="",$K48&gt;0),$I48,"")))</f>
        <v/>
      </c>
      <c r="O48" s="49" t="str">
        <f t="shared" ref="O48:O54" si="21">IF(AND($J48&gt;0,$K48&gt;0,$L48&gt;0),$I48/3,IF(AND(J48="",$K48&gt;0,$L48&gt;0),$I48/2,IF(AND($J48="",$K48="",L48&gt;0),$I48,"")))</f>
        <v/>
      </c>
      <c r="P48" s="56">
        <f t="shared" si="13"/>
        <v>11200</v>
      </c>
    </row>
    <row r="49" spans="1:16" s="6" customFormat="1" ht="16.95" customHeight="1">
      <c r="A49" s="416"/>
      <c r="B49" s="416"/>
      <c r="C49" s="123" t="s">
        <v>80</v>
      </c>
      <c r="D49" s="36" t="s">
        <v>23</v>
      </c>
      <c r="E49" s="9" t="s">
        <v>81</v>
      </c>
      <c r="F49" s="9">
        <v>1</v>
      </c>
      <c r="G49" s="9">
        <v>21</v>
      </c>
      <c r="H49" s="9">
        <v>400</v>
      </c>
      <c r="I49" s="29">
        <f t="shared" si="18"/>
        <v>8400</v>
      </c>
      <c r="J49" s="40" t="s">
        <v>25</v>
      </c>
      <c r="K49" s="26"/>
      <c r="L49" s="41"/>
      <c r="M49" s="40">
        <f t="shared" si="19"/>
        <v>8400</v>
      </c>
      <c r="N49" s="26" t="str">
        <f t="shared" si="20"/>
        <v/>
      </c>
      <c r="O49" s="41" t="str">
        <f t="shared" si="21"/>
        <v/>
      </c>
      <c r="P49" s="57">
        <f t="shared" si="13"/>
        <v>8400</v>
      </c>
    </row>
    <row r="50" spans="1:16" s="6" customFormat="1" ht="16.95" customHeight="1">
      <c r="A50" s="416"/>
      <c r="B50" s="416"/>
      <c r="C50" s="123" t="s">
        <v>82</v>
      </c>
      <c r="D50" s="36" t="s">
        <v>23</v>
      </c>
      <c r="E50" s="9" t="s">
        <v>81</v>
      </c>
      <c r="F50" s="9">
        <v>1</v>
      </c>
      <c r="G50" s="9">
        <v>18</v>
      </c>
      <c r="H50" s="9">
        <v>400</v>
      </c>
      <c r="I50" s="29">
        <f t="shared" si="18"/>
        <v>7200</v>
      </c>
      <c r="J50" s="40" t="s">
        <v>25</v>
      </c>
      <c r="K50" s="26"/>
      <c r="L50" s="41"/>
      <c r="M50" s="40">
        <f t="shared" si="19"/>
        <v>7200</v>
      </c>
      <c r="N50" s="26" t="str">
        <f t="shared" si="20"/>
        <v/>
      </c>
      <c r="O50" s="41" t="str">
        <f t="shared" si="21"/>
        <v/>
      </c>
      <c r="P50" s="57">
        <f t="shared" si="13"/>
        <v>7200</v>
      </c>
    </row>
    <row r="51" spans="1:16" s="6" customFormat="1" ht="16.95" customHeight="1">
      <c r="A51" s="416"/>
      <c r="B51" s="416"/>
      <c r="C51" s="123" t="s">
        <v>83</v>
      </c>
      <c r="D51" s="36" t="s">
        <v>23</v>
      </c>
      <c r="E51" s="9" t="s">
        <v>81</v>
      </c>
      <c r="F51" s="9">
        <v>1</v>
      </c>
      <c r="G51" s="9">
        <v>14</v>
      </c>
      <c r="H51" s="9">
        <v>400</v>
      </c>
      <c r="I51" s="29">
        <f t="shared" si="18"/>
        <v>5600</v>
      </c>
      <c r="J51" s="40" t="s">
        <v>25</v>
      </c>
      <c r="K51" s="26"/>
      <c r="L51" s="41"/>
      <c r="M51" s="40">
        <f t="shared" si="19"/>
        <v>5600</v>
      </c>
      <c r="N51" s="26" t="str">
        <f t="shared" si="20"/>
        <v/>
      </c>
      <c r="O51" s="41" t="str">
        <f t="shared" si="21"/>
        <v/>
      </c>
      <c r="P51" s="57">
        <f t="shared" si="13"/>
        <v>5600</v>
      </c>
    </row>
    <row r="52" spans="1:16" s="6" customFormat="1" ht="18" customHeight="1">
      <c r="A52" s="416"/>
      <c r="B52" s="416"/>
      <c r="C52" s="123" t="s">
        <v>84</v>
      </c>
      <c r="D52" s="36" t="s">
        <v>23</v>
      </c>
      <c r="E52" s="9" t="s">
        <v>35</v>
      </c>
      <c r="F52" s="9">
        <v>2</v>
      </c>
      <c r="G52" s="9">
        <v>14</v>
      </c>
      <c r="H52" s="9">
        <v>400</v>
      </c>
      <c r="I52" s="29">
        <f t="shared" si="18"/>
        <v>11200</v>
      </c>
      <c r="J52" s="40" t="s">
        <v>25</v>
      </c>
      <c r="K52" s="26"/>
      <c r="L52" s="41"/>
      <c r="M52" s="40">
        <f t="shared" si="19"/>
        <v>11200</v>
      </c>
      <c r="N52" s="26" t="str">
        <f t="shared" si="20"/>
        <v/>
      </c>
      <c r="O52" s="41" t="str">
        <f t="shared" si="21"/>
        <v/>
      </c>
      <c r="P52" s="57">
        <f t="shared" si="13"/>
        <v>11200</v>
      </c>
    </row>
    <row r="53" spans="1:16" s="6" customFormat="1" ht="17.25" customHeight="1">
      <c r="A53" s="416"/>
      <c r="B53" s="416"/>
      <c r="C53" s="415" t="s">
        <v>85</v>
      </c>
      <c r="D53" s="36" t="s">
        <v>23</v>
      </c>
      <c r="E53" s="9" t="s">
        <v>35</v>
      </c>
      <c r="F53" s="9">
        <v>2</v>
      </c>
      <c r="G53" s="9">
        <v>21</v>
      </c>
      <c r="H53" s="9">
        <v>400</v>
      </c>
      <c r="I53" s="29">
        <f t="shared" si="18"/>
        <v>16800</v>
      </c>
      <c r="J53" s="40" t="s">
        <v>25</v>
      </c>
      <c r="K53" s="26" t="s">
        <v>25</v>
      </c>
      <c r="L53" s="41"/>
      <c r="M53" s="40">
        <f t="shared" si="19"/>
        <v>8400</v>
      </c>
      <c r="N53" s="26">
        <f t="shared" si="20"/>
        <v>8400</v>
      </c>
      <c r="O53" s="41" t="str">
        <f t="shared" si="21"/>
        <v/>
      </c>
      <c r="P53" s="57">
        <f t="shared" si="13"/>
        <v>16800</v>
      </c>
    </row>
    <row r="54" spans="1:16" s="6" customFormat="1" ht="16.95" customHeight="1" thickBot="1">
      <c r="A54" s="416"/>
      <c r="B54" s="416"/>
      <c r="C54" s="416"/>
      <c r="D54" s="125" t="s">
        <v>31</v>
      </c>
      <c r="E54" s="91" t="s">
        <v>86</v>
      </c>
      <c r="F54" s="91">
        <v>20</v>
      </c>
      <c r="G54" s="91">
        <v>5</v>
      </c>
      <c r="H54" s="91">
        <v>50</v>
      </c>
      <c r="I54" s="92">
        <f t="shared" si="18"/>
        <v>5000</v>
      </c>
      <c r="J54" s="93"/>
      <c r="K54" s="102" t="s">
        <v>25</v>
      </c>
      <c r="L54" s="95"/>
      <c r="M54" s="93" t="str">
        <f t="shared" si="19"/>
        <v/>
      </c>
      <c r="N54" s="94">
        <f t="shared" si="20"/>
        <v>5000</v>
      </c>
      <c r="O54" s="95" t="str">
        <f t="shared" si="21"/>
        <v/>
      </c>
      <c r="P54" s="96">
        <f t="shared" si="13"/>
        <v>5000</v>
      </c>
    </row>
    <row r="55" spans="1:16" s="6" customFormat="1" ht="16.95" customHeight="1" thickBot="1">
      <c r="A55" s="441"/>
      <c r="B55" s="441"/>
      <c r="C55" s="139"/>
      <c r="D55" s="109"/>
      <c r="E55" s="98"/>
      <c r="F55" s="98"/>
      <c r="G55" s="98"/>
      <c r="H55" s="98"/>
      <c r="I55" s="99">
        <f>SUM(I48:I54)</f>
        <v>65400</v>
      </c>
      <c r="J55" s="466" t="s">
        <v>38</v>
      </c>
      <c r="K55" s="423"/>
      <c r="L55" s="424"/>
      <c r="M55" s="97">
        <f>SUM(M48:M54)</f>
        <v>52000</v>
      </c>
      <c r="N55" s="98">
        <f>SUM(N48:N54)</f>
        <v>13400</v>
      </c>
      <c r="O55" s="100">
        <f>SUM(O48:O54)</f>
        <v>0</v>
      </c>
      <c r="P55" s="101">
        <f t="shared" si="13"/>
        <v>65400</v>
      </c>
    </row>
    <row r="56" spans="1:16" s="6" customFormat="1" ht="16.95" customHeight="1">
      <c r="A56" s="465" t="s">
        <v>87</v>
      </c>
      <c r="B56" s="465" t="s">
        <v>88</v>
      </c>
      <c r="C56" s="126" t="s">
        <v>89</v>
      </c>
      <c r="D56" s="50" t="s">
        <v>23</v>
      </c>
      <c r="E56" s="46" t="s">
        <v>90</v>
      </c>
      <c r="F56" s="46">
        <v>2</v>
      </c>
      <c r="G56" s="46">
        <v>5</v>
      </c>
      <c r="H56" s="46">
        <v>400</v>
      </c>
      <c r="I56" s="76">
        <f t="shared" ref="I56:I66" si="22">F56*G56*H56</f>
        <v>4000</v>
      </c>
      <c r="J56" s="48" t="s">
        <v>25</v>
      </c>
      <c r="K56" s="33"/>
      <c r="L56" s="49"/>
      <c r="M56" s="48">
        <f t="shared" ref="M56:M66" si="23">IF(AND($J56&gt;0,$K56&gt;0,$L56&gt;0),$I56/3,IF(AND($J56&gt;0,$K56&gt;0),$I56/2,IF(AND(J56="",OR($K56&gt;0,$L56&gt;0)),"",$I56)))</f>
        <v>4000</v>
      </c>
      <c r="N56" s="33" t="str">
        <f t="shared" ref="N56:N66" si="24">IF(AND($J56&gt;0,$K56&gt;0,$L56&gt;0),$I56/3,IF(AND($J56&gt;0,$K56&gt;0),$I56/2,IF(AND($J56="",$K56&gt;0),$I56,"")))</f>
        <v/>
      </c>
      <c r="O56" s="49" t="str">
        <f t="shared" ref="O56:O66" si="25">IF(AND($J56&gt;0,$K56&gt;0,$L56&gt;0),$I56/3,IF(AND(J56="",$K56&gt;0,$L56&gt;0),$I56/2,IF(AND($J56="",$K56="",L56&gt;0),$I56,"")))</f>
        <v/>
      </c>
      <c r="P56" s="56">
        <f t="shared" si="13"/>
        <v>4000</v>
      </c>
    </row>
    <row r="57" spans="1:16" s="6" customFormat="1" ht="16.95" customHeight="1">
      <c r="A57" s="416"/>
      <c r="B57" s="416"/>
      <c r="C57" s="123" t="s">
        <v>91</v>
      </c>
      <c r="D57" s="36" t="s">
        <v>23</v>
      </c>
      <c r="E57" s="9" t="s">
        <v>92</v>
      </c>
      <c r="F57" s="9">
        <v>3</v>
      </c>
      <c r="G57" s="9">
        <v>10</v>
      </c>
      <c r="H57" s="9">
        <v>400</v>
      </c>
      <c r="I57" s="29">
        <f t="shared" si="22"/>
        <v>12000</v>
      </c>
      <c r="J57" s="40" t="s">
        <v>25</v>
      </c>
      <c r="K57" s="26"/>
      <c r="L57" s="41"/>
      <c r="M57" s="40">
        <f t="shared" si="23"/>
        <v>12000</v>
      </c>
      <c r="N57" s="26" t="str">
        <f t="shared" si="24"/>
        <v/>
      </c>
      <c r="O57" s="41" t="str">
        <f t="shared" si="25"/>
        <v/>
      </c>
      <c r="P57" s="57">
        <f t="shared" si="13"/>
        <v>12000</v>
      </c>
    </row>
    <row r="58" spans="1:16" s="6" customFormat="1" ht="16.95" customHeight="1">
      <c r="A58" s="416"/>
      <c r="B58" s="416"/>
      <c r="C58" s="123" t="s">
        <v>93</v>
      </c>
      <c r="D58" s="36" t="s">
        <v>23</v>
      </c>
      <c r="E58" s="9" t="s">
        <v>90</v>
      </c>
      <c r="F58" s="9">
        <v>2</v>
      </c>
      <c r="G58" s="9">
        <v>5</v>
      </c>
      <c r="H58" s="9">
        <v>400</v>
      </c>
      <c r="I58" s="29">
        <f t="shared" si="22"/>
        <v>4000</v>
      </c>
      <c r="J58" s="40" t="s">
        <v>25</v>
      </c>
      <c r="K58" s="26"/>
      <c r="L58" s="41"/>
      <c r="M58" s="40">
        <f t="shared" si="23"/>
        <v>4000</v>
      </c>
      <c r="N58" s="26" t="str">
        <f t="shared" si="24"/>
        <v/>
      </c>
      <c r="O58" s="41" t="str">
        <f t="shared" si="25"/>
        <v/>
      </c>
      <c r="P58" s="57">
        <f t="shared" si="13"/>
        <v>4000</v>
      </c>
    </row>
    <row r="59" spans="1:16" s="6" customFormat="1" ht="34.049999999999997" customHeight="1">
      <c r="A59" s="416"/>
      <c r="B59" s="416"/>
      <c r="C59" s="123" t="s">
        <v>94</v>
      </c>
      <c r="D59" s="36" t="s">
        <v>23</v>
      </c>
      <c r="E59" s="9" t="s">
        <v>4</v>
      </c>
      <c r="F59" s="9">
        <v>1</v>
      </c>
      <c r="G59" s="9">
        <v>21</v>
      </c>
      <c r="H59" s="9">
        <v>400</v>
      </c>
      <c r="I59" s="29">
        <f t="shared" si="22"/>
        <v>8400</v>
      </c>
      <c r="J59" s="40" t="s">
        <v>25</v>
      </c>
      <c r="K59" s="26"/>
      <c r="L59" s="41"/>
      <c r="M59" s="40">
        <f t="shared" si="23"/>
        <v>8400</v>
      </c>
      <c r="N59" s="26" t="str">
        <f t="shared" si="24"/>
        <v/>
      </c>
      <c r="O59" s="41" t="str">
        <f t="shared" si="25"/>
        <v/>
      </c>
      <c r="P59" s="57">
        <f t="shared" si="13"/>
        <v>8400</v>
      </c>
    </row>
    <row r="60" spans="1:16" s="6" customFormat="1" ht="16.95" customHeight="1">
      <c r="A60" s="416"/>
      <c r="B60" s="416"/>
      <c r="C60" s="123" t="s">
        <v>95</v>
      </c>
      <c r="D60" s="36" t="s">
        <v>23</v>
      </c>
      <c r="E60" s="9" t="s">
        <v>4</v>
      </c>
      <c r="F60" s="9">
        <v>1</v>
      </c>
      <c r="G60" s="9">
        <v>21</v>
      </c>
      <c r="H60" s="9">
        <v>400</v>
      </c>
      <c r="I60" s="29">
        <f t="shared" si="22"/>
        <v>8400</v>
      </c>
      <c r="J60" s="40" t="s">
        <v>25</v>
      </c>
      <c r="K60" s="26"/>
      <c r="L60" s="41"/>
      <c r="M60" s="40">
        <f t="shared" si="23"/>
        <v>8400</v>
      </c>
      <c r="N60" s="26" t="str">
        <f t="shared" si="24"/>
        <v/>
      </c>
      <c r="O60" s="41" t="str">
        <f t="shared" si="25"/>
        <v/>
      </c>
      <c r="P60" s="57">
        <f t="shared" si="13"/>
        <v>8400</v>
      </c>
    </row>
    <row r="61" spans="1:16" s="6" customFormat="1" ht="16.95" customHeight="1">
      <c r="A61" s="416"/>
      <c r="B61" s="416"/>
      <c r="C61" s="123" t="s">
        <v>96</v>
      </c>
      <c r="D61" s="36" t="s">
        <v>23</v>
      </c>
      <c r="E61" s="9" t="s">
        <v>4</v>
      </c>
      <c r="F61" s="9">
        <v>1</v>
      </c>
      <c r="G61" s="9">
        <v>21</v>
      </c>
      <c r="H61" s="9">
        <v>400</v>
      </c>
      <c r="I61" s="29">
        <f t="shared" si="22"/>
        <v>8400</v>
      </c>
      <c r="J61" s="40"/>
      <c r="K61" s="26" t="s">
        <v>25</v>
      </c>
      <c r="L61" s="41"/>
      <c r="M61" s="40" t="str">
        <f t="shared" si="23"/>
        <v/>
      </c>
      <c r="N61" s="26">
        <f t="shared" si="24"/>
        <v>8400</v>
      </c>
      <c r="O61" s="41" t="str">
        <f t="shared" si="25"/>
        <v/>
      </c>
      <c r="P61" s="57">
        <f t="shared" si="13"/>
        <v>8400</v>
      </c>
    </row>
    <row r="62" spans="1:16" s="6" customFormat="1" ht="34.049999999999997" customHeight="1">
      <c r="A62" s="416"/>
      <c r="B62" s="416"/>
      <c r="C62" s="123" t="s">
        <v>97</v>
      </c>
      <c r="D62" s="36" t="s">
        <v>23</v>
      </c>
      <c r="E62" s="9" t="s">
        <v>4</v>
      </c>
      <c r="F62" s="9">
        <v>1</v>
      </c>
      <c r="G62" s="9">
        <v>21</v>
      </c>
      <c r="H62" s="9">
        <v>400</v>
      </c>
      <c r="I62" s="29">
        <f t="shared" si="22"/>
        <v>8400</v>
      </c>
      <c r="J62" s="40"/>
      <c r="K62" s="26" t="s">
        <v>25</v>
      </c>
      <c r="L62" s="41"/>
      <c r="M62" s="40" t="str">
        <f t="shared" si="23"/>
        <v/>
      </c>
      <c r="N62" s="26">
        <f t="shared" si="24"/>
        <v>8400</v>
      </c>
      <c r="O62" s="41" t="str">
        <f t="shared" si="25"/>
        <v/>
      </c>
      <c r="P62" s="57">
        <f t="shared" si="13"/>
        <v>8400</v>
      </c>
    </row>
    <row r="63" spans="1:16" s="6" customFormat="1" ht="16.95" customHeight="1">
      <c r="A63" s="416"/>
      <c r="B63" s="416"/>
      <c r="C63" s="123" t="s">
        <v>98</v>
      </c>
      <c r="D63" s="36" t="s">
        <v>23</v>
      </c>
      <c r="E63" s="9" t="s">
        <v>4</v>
      </c>
      <c r="F63" s="9">
        <v>1</v>
      </c>
      <c r="G63" s="9">
        <v>21</v>
      </c>
      <c r="H63" s="9">
        <v>400</v>
      </c>
      <c r="I63" s="29">
        <f t="shared" si="22"/>
        <v>8400</v>
      </c>
      <c r="J63" s="40"/>
      <c r="K63" s="26" t="s">
        <v>25</v>
      </c>
      <c r="L63" s="41"/>
      <c r="M63" s="40" t="str">
        <f t="shared" si="23"/>
        <v/>
      </c>
      <c r="N63" s="26">
        <f t="shared" si="24"/>
        <v>8400</v>
      </c>
      <c r="O63" s="41" t="str">
        <f t="shared" si="25"/>
        <v/>
      </c>
      <c r="P63" s="57">
        <f t="shared" si="13"/>
        <v>8400</v>
      </c>
    </row>
    <row r="64" spans="1:16" s="6" customFormat="1" ht="34.049999999999997" customHeight="1">
      <c r="A64" s="416"/>
      <c r="B64" s="416"/>
      <c r="C64" s="127" t="s">
        <v>99</v>
      </c>
      <c r="D64" s="36" t="s">
        <v>23</v>
      </c>
      <c r="E64" s="9" t="s">
        <v>100</v>
      </c>
      <c r="F64" s="9">
        <v>1</v>
      </c>
      <c r="G64" s="9">
        <v>14</v>
      </c>
      <c r="H64" s="9">
        <v>300</v>
      </c>
      <c r="I64" s="29">
        <f t="shared" si="22"/>
        <v>4200</v>
      </c>
      <c r="J64" s="40"/>
      <c r="K64" s="26" t="s">
        <v>25</v>
      </c>
      <c r="L64" s="41"/>
      <c r="M64" s="40" t="str">
        <f t="shared" si="23"/>
        <v/>
      </c>
      <c r="N64" s="26">
        <f t="shared" si="24"/>
        <v>4200</v>
      </c>
      <c r="O64" s="41" t="str">
        <f t="shared" si="25"/>
        <v/>
      </c>
      <c r="P64" s="57">
        <f t="shared" si="13"/>
        <v>4200</v>
      </c>
    </row>
    <row r="65" spans="1:18" s="6" customFormat="1" ht="34.049999999999997" customHeight="1">
      <c r="A65" s="416"/>
      <c r="B65" s="416"/>
      <c r="C65" s="123" t="s">
        <v>101</v>
      </c>
      <c r="D65" s="36" t="s">
        <v>23</v>
      </c>
      <c r="E65" s="9" t="s">
        <v>66</v>
      </c>
      <c r="F65" s="9">
        <v>2</v>
      </c>
      <c r="G65" s="9">
        <v>10</v>
      </c>
      <c r="H65" s="9">
        <v>300</v>
      </c>
      <c r="I65" s="29">
        <f t="shared" si="22"/>
        <v>6000</v>
      </c>
      <c r="J65" s="40"/>
      <c r="K65" s="26" t="s">
        <v>25</v>
      </c>
      <c r="L65" s="41"/>
      <c r="M65" s="40" t="str">
        <f t="shared" si="23"/>
        <v/>
      </c>
      <c r="N65" s="26">
        <f t="shared" si="24"/>
        <v>6000</v>
      </c>
      <c r="O65" s="41" t="str">
        <f t="shared" si="25"/>
        <v/>
      </c>
      <c r="P65" s="57">
        <f t="shared" si="13"/>
        <v>6000</v>
      </c>
    </row>
    <row r="66" spans="1:18" s="6" customFormat="1" ht="18" customHeight="1" thickBot="1">
      <c r="A66" s="416"/>
      <c r="B66" s="416"/>
      <c r="C66" s="124" t="s">
        <v>102</v>
      </c>
      <c r="D66" s="125" t="s">
        <v>23</v>
      </c>
      <c r="E66" s="91" t="s">
        <v>103</v>
      </c>
      <c r="F66" s="91">
        <v>1</v>
      </c>
      <c r="G66" s="91">
        <v>10</v>
      </c>
      <c r="H66" s="91">
        <v>300</v>
      </c>
      <c r="I66" s="92">
        <f t="shared" si="22"/>
        <v>3000</v>
      </c>
      <c r="J66" s="93"/>
      <c r="K66" s="94"/>
      <c r="L66" s="95" t="s">
        <v>25</v>
      </c>
      <c r="M66" s="93" t="str">
        <f t="shared" si="23"/>
        <v/>
      </c>
      <c r="N66" s="94" t="str">
        <f t="shared" si="24"/>
        <v/>
      </c>
      <c r="O66" s="95">
        <f t="shared" si="25"/>
        <v>3000</v>
      </c>
      <c r="P66" s="96">
        <f t="shared" si="13"/>
        <v>3000</v>
      </c>
    </row>
    <row r="67" spans="1:18" s="6" customFormat="1" ht="16.95" customHeight="1" thickBot="1">
      <c r="A67" s="441"/>
      <c r="B67" s="441"/>
      <c r="C67" s="139"/>
      <c r="D67" s="109"/>
      <c r="E67" s="98"/>
      <c r="F67" s="98"/>
      <c r="G67" s="98"/>
      <c r="H67" s="98"/>
      <c r="I67" s="99">
        <f>SUM(I56:I66)</f>
        <v>75200</v>
      </c>
      <c r="J67" s="466" t="s">
        <v>38</v>
      </c>
      <c r="K67" s="423"/>
      <c r="L67" s="424"/>
      <c r="M67" s="97">
        <f>SUM(M56:M66)</f>
        <v>36800</v>
      </c>
      <c r="N67" s="98">
        <f>SUM(N56:N66)</f>
        <v>35400</v>
      </c>
      <c r="O67" s="100">
        <f>SUM(O56:O66)</f>
        <v>3000</v>
      </c>
      <c r="P67" s="101">
        <f t="shared" si="13"/>
        <v>75200</v>
      </c>
    </row>
    <row r="68" spans="1:18" s="6" customFormat="1" ht="17.25" customHeight="1" thickBot="1">
      <c r="A68" s="429" t="s">
        <v>104</v>
      </c>
      <c r="B68" s="426"/>
      <c r="C68" s="426"/>
      <c r="D68" s="426"/>
      <c r="E68" s="426"/>
      <c r="F68" s="426"/>
      <c r="G68" s="426"/>
      <c r="H68" s="426"/>
      <c r="I68" s="426"/>
      <c r="J68" s="426"/>
      <c r="K68" s="426"/>
      <c r="L68" s="426"/>
      <c r="M68" s="65">
        <f>M67+M55+M40+M28+M14+M47</f>
        <v>298166.66666666669</v>
      </c>
      <c r="N68" s="64">
        <f>N67+N55+N40+N28+N14+N47</f>
        <v>301366.66666666663</v>
      </c>
      <c r="O68" s="66">
        <f>O67+O55+O40+O28+O14+O47</f>
        <v>24266.666666666668</v>
      </c>
      <c r="P68" s="67">
        <f t="shared" ref="P68" si="26">SUM(M68:O68)</f>
        <v>623799.99999999988</v>
      </c>
      <c r="R68" s="1"/>
    </row>
    <row r="69" spans="1:18" s="6" customFormat="1" ht="16.95" customHeight="1" thickBot="1">
      <c r="A69" s="425" t="s">
        <v>105</v>
      </c>
      <c r="B69" s="426"/>
      <c r="C69" s="426"/>
      <c r="D69" s="426"/>
      <c r="E69" s="426"/>
      <c r="F69" s="426"/>
      <c r="G69" s="426"/>
      <c r="H69" s="426"/>
      <c r="I69" s="426"/>
      <c r="J69" s="426"/>
      <c r="K69" s="426"/>
      <c r="L69" s="426"/>
      <c r="M69" s="426"/>
      <c r="N69" s="426"/>
      <c r="O69" s="426"/>
      <c r="P69" s="427"/>
      <c r="R69" s="1"/>
    </row>
    <row r="70" spans="1:18" s="6" customFormat="1" ht="16.05" customHeight="1">
      <c r="A70" s="420" t="s">
        <v>106</v>
      </c>
      <c r="B70" s="469" t="s">
        <v>107</v>
      </c>
      <c r="C70" s="420" t="s">
        <v>108</v>
      </c>
      <c r="D70" s="121" t="s">
        <v>23</v>
      </c>
      <c r="E70" s="72" t="s">
        <v>109</v>
      </c>
      <c r="F70" s="72">
        <v>2</v>
      </c>
      <c r="G70" s="72">
        <v>14</v>
      </c>
      <c r="H70" s="72">
        <v>400</v>
      </c>
      <c r="I70" s="72">
        <f t="shared" ref="I70:I85" si="27">F70*G70*H70</f>
        <v>11200</v>
      </c>
      <c r="J70" s="38" t="s">
        <v>25</v>
      </c>
      <c r="K70" s="38"/>
      <c r="L70" s="119"/>
      <c r="M70" s="37">
        <f t="shared" ref="M70:M79" si="28">IF(AND($J70&gt;0,$K70&gt;0,$L70&gt;0),$I70/3,IF(AND($J70&gt;0,$K70&gt;0),$I70/2,IF(AND(J70="",OR($K70&gt;0,$L70&gt;0)),"",$I70)))</f>
        <v>11200</v>
      </c>
      <c r="N70" s="38" t="str">
        <f t="shared" ref="N70:N85" si="29">IF(AND($J70&gt;0,$K70&gt;0,$L70&gt;0),$I70/3,IF(AND($J70&gt;0,$K70&gt;0),$I70/2,IF(AND($J70="",$K70&gt;0),$I70,"")))</f>
        <v/>
      </c>
      <c r="O70" s="39" t="str">
        <f t="shared" ref="O70:O85" si="30">IF(AND($J70&gt;0,$K70&gt;0,$L70&gt;0),$I70/3,IF(AND(J70="",$K70&gt;0,$L70&gt;0),$I70/2,IF(AND($J70="",$K70="",L70&gt;0),$I70,"")))</f>
        <v/>
      </c>
      <c r="P70" s="74">
        <f t="shared" ref="P70:P101" si="31">SUM(M70:O70)</f>
        <v>11200</v>
      </c>
    </row>
    <row r="71" spans="1:18" s="6" customFormat="1" ht="16.05" customHeight="1">
      <c r="A71" s="416"/>
      <c r="B71" s="432"/>
      <c r="C71" s="418"/>
      <c r="D71" s="36" t="s">
        <v>23</v>
      </c>
      <c r="E71" s="9" t="s">
        <v>32</v>
      </c>
      <c r="F71" s="9">
        <v>20</v>
      </c>
      <c r="G71" s="9">
        <v>5</v>
      </c>
      <c r="H71" s="9">
        <v>50</v>
      </c>
      <c r="I71" s="9">
        <f t="shared" si="27"/>
        <v>5000</v>
      </c>
      <c r="J71" s="26" t="s">
        <v>25</v>
      </c>
      <c r="K71" s="26"/>
      <c r="L71" s="28"/>
      <c r="M71" s="40">
        <f t="shared" si="28"/>
        <v>5000</v>
      </c>
      <c r="N71" s="26" t="str">
        <f t="shared" si="29"/>
        <v/>
      </c>
      <c r="O71" s="41" t="str">
        <f t="shared" si="30"/>
        <v/>
      </c>
      <c r="P71" s="57">
        <f t="shared" si="31"/>
        <v>5000</v>
      </c>
    </row>
    <row r="72" spans="1:18" s="6" customFormat="1" ht="17.25" customHeight="1">
      <c r="A72" s="416"/>
      <c r="B72" s="432"/>
      <c r="C72" s="419" t="s">
        <v>110</v>
      </c>
      <c r="D72" s="36" t="s">
        <v>23</v>
      </c>
      <c r="E72" s="9" t="s">
        <v>109</v>
      </c>
      <c r="F72" s="9">
        <v>2</v>
      </c>
      <c r="G72" s="9">
        <v>2</v>
      </c>
      <c r="H72" s="9">
        <v>400</v>
      </c>
      <c r="I72" s="9">
        <f t="shared" si="27"/>
        <v>1600</v>
      </c>
      <c r="J72" s="26" t="s">
        <v>25</v>
      </c>
      <c r="K72" s="26"/>
      <c r="L72" s="28"/>
      <c r="M72" s="40">
        <f t="shared" si="28"/>
        <v>1600</v>
      </c>
      <c r="N72" s="26" t="str">
        <f t="shared" si="29"/>
        <v/>
      </c>
      <c r="O72" s="41" t="str">
        <f t="shared" si="30"/>
        <v/>
      </c>
      <c r="P72" s="57">
        <f t="shared" si="31"/>
        <v>1600</v>
      </c>
    </row>
    <row r="73" spans="1:18" s="6" customFormat="1" ht="17.25" customHeight="1">
      <c r="A73" s="416"/>
      <c r="B73" s="432"/>
      <c r="C73" s="418"/>
      <c r="D73" s="36" t="s">
        <v>31</v>
      </c>
      <c r="E73" s="9" t="s">
        <v>32</v>
      </c>
      <c r="F73" s="9">
        <v>20</v>
      </c>
      <c r="G73" s="9">
        <v>2</v>
      </c>
      <c r="H73" s="9">
        <v>30</v>
      </c>
      <c r="I73" s="9">
        <f t="shared" si="27"/>
        <v>1200</v>
      </c>
      <c r="J73" s="26" t="s">
        <v>25</v>
      </c>
      <c r="K73" s="26"/>
      <c r="L73" s="28"/>
      <c r="M73" s="40">
        <f t="shared" si="28"/>
        <v>1200</v>
      </c>
      <c r="N73" s="26" t="str">
        <f t="shared" si="29"/>
        <v/>
      </c>
      <c r="O73" s="41" t="str">
        <f t="shared" si="30"/>
        <v/>
      </c>
      <c r="P73" s="57">
        <f t="shared" si="31"/>
        <v>1200</v>
      </c>
    </row>
    <row r="74" spans="1:18" s="6" customFormat="1" ht="34.049999999999997" customHeight="1">
      <c r="A74" s="416"/>
      <c r="B74" s="432"/>
      <c r="C74" s="123" t="s">
        <v>111</v>
      </c>
      <c r="D74" s="36" t="s">
        <v>23</v>
      </c>
      <c r="E74" s="9" t="s">
        <v>35</v>
      </c>
      <c r="F74" s="9">
        <v>3</v>
      </c>
      <c r="G74" s="9">
        <v>21</v>
      </c>
      <c r="H74" s="9">
        <v>400</v>
      </c>
      <c r="I74" s="9">
        <f t="shared" si="27"/>
        <v>25200</v>
      </c>
      <c r="J74" s="26" t="s">
        <v>25</v>
      </c>
      <c r="K74" s="26"/>
      <c r="L74" s="28"/>
      <c r="M74" s="40">
        <f t="shared" si="28"/>
        <v>25200</v>
      </c>
      <c r="N74" s="26" t="str">
        <f t="shared" si="29"/>
        <v/>
      </c>
      <c r="O74" s="41" t="str">
        <f t="shared" si="30"/>
        <v/>
      </c>
      <c r="P74" s="57">
        <f t="shared" si="31"/>
        <v>25200</v>
      </c>
    </row>
    <row r="75" spans="1:18" s="6" customFormat="1" ht="16.95" customHeight="1">
      <c r="A75" s="416"/>
      <c r="B75" s="432"/>
      <c r="C75" s="123" t="s">
        <v>112</v>
      </c>
      <c r="D75" s="36" t="s">
        <v>23</v>
      </c>
      <c r="E75" s="9" t="s">
        <v>4</v>
      </c>
      <c r="F75" s="9">
        <v>2</v>
      </c>
      <c r="G75" s="9">
        <v>21</v>
      </c>
      <c r="H75" s="9">
        <v>400</v>
      </c>
      <c r="I75" s="9">
        <f t="shared" si="27"/>
        <v>16800</v>
      </c>
      <c r="J75" s="26" t="s">
        <v>25</v>
      </c>
      <c r="K75" s="26"/>
      <c r="L75" s="28"/>
      <c r="M75" s="40">
        <f t="shared" si="28"/>
        <v>16800</v>
      </c>
      <c r="N75" s="26" t="str">
        <f t="shared" si="29"/>
        <v/>
      </c>
      <c r="O75" s="41" t="str">
        <f t="shared" si="30"/>
        <v/>
      </c>
      <c r="P75" s="57">
        <f t="shared" si="31"/>
        <v>16800</v>
      </c>
    </row>
    <row r="76" spans="1:18" s="6" customFormat="1" ht="16.05" customHeight="1">
      <c r="A76" s="416"/>
      <c r="B76" s="432"/>
      <c r="C76" s="419" t="s">
        <v>113</v>
      </c>
      <c r="D76" s="36" t="s">
        <v>23</v>
      </c>
      <c r="E76" s="9" t="s">
        <v>35</v>
      </c>
      <c r="F76" s="9">
        <v>3</v>
      </c>
      <c r="G76" s="9">
        <v>10</v>
      </c>
      <c r="H76" s="9">
        <v>400</v>
      </c>
      <c r="I76" s="9">
        <f t="shared" si="27"/>
        <v>12000</v>
      </c>
      <c r="J76" s="26" t="s">
        <v>25</v>
      </c>
      <c r="K76" s="26"/>
      <c r="L76" s="28"/>
      <c r="M76" s="40">
        <f t="shared" si="28"/>
        <v>12000</v>
      </c>
      <c r="N76" s="26" t="str">
        <f t="shared" si="29"/>
        <v/>
      </c>
      <c r="O76" s="41" t="str">
        <f t="shared" si="30"/>
        <v/>
      </c>
      <c r="P76" s="57">
        <f t="shared" si="31"/>
        <v>12000</v>
      </c>
    </row>
    <row r="77" spans="1:18" s="6" customFormat="1" ht="16.05" customHeight="1">
      <c r="A77" s="416"/>
      <c r="B77" s="432"/>
      <c r="C77" s="418"/>
      <c r="D77" s="36" t="s">
        <v>23</v>
      </c>
      <c r="E77" s="9" t="s">
        <v>32</v>
      </c>
      <c r="F77" s="9">
        <f>52</f>
        <v>52</v>
      </c>
      <c r="G77" s="9">
        <v>5</v>
      </c>
      <c r="H77" s="9">
        <v>50</v>
      </c>
      <c r="I77" s="9">
        <f t="shared" si="27"/>
        <v>13000</v>
      </c>
      <c r="J77" s="26" t="s">
        <v>25</v>
      </c>
      <c r="K77" s="26"/>
      <c r="L77" s="28"/>
      <c r="M77" s="40">
        <f t="shared" si="28"/>
        <v>13000</v>
      </c>
      <c r="N77" s="26" t="str">
        <f t="shared" si="29"/>
        <v/>
      </c>
      <c r="O77" s="41" t="str">
        <f t="shared" si="30"/>
        <v/>
      </c>
      <c r="P77" s="57">
        <f t="shared" si="31"/>
        <v>13000</v>
      </c>
    </row>
    <row r="78" spans="1:18" s="6" customFormat="1" ht="17.25" customHeight="1">
      <c r="A78" s="416"/>
      <c r="B78" s="432"/>
      <c r="C78" s="419" t="s">
        <v>114</v>
      </c>
      <c r="D78" s="36" t="s">
        <v>23</v>
      </c>
      <c r="E78" s="9" t="s">
        <v>27</v>
      </c>
      <c r="F78" s="9">
        <v>2</v>
      </c>
      <c r="G78" s="9">
        <v>10</v>
      </c>
      <c r="H78" s="9">
        <v>400</v>
      </c>
      <c r="I78" s="9">
        <f t="shared" si="27"/>
        <v>8000</v>
      </c>
      <c r="J78" s="26"/>
      <c r="K78" s="26" t="s">
        <v>25</v>
      </c>
      <c r="L78" s="28"/>
      <c r="M78" s="40" t="str">
        <f t="shared" si="28"/>
        <v/>
      </c>
      <c r="N78" s="26">
        <f t="shared" si="29"/>
        <v>8000</v>
      </c>
      <c r="O78" s="41" t="str">
        <f t="shared" si="30"/>
        <v/>
      </c>
      <c r="P78" s="57">
        <f t="shared" si="31"/>
        <v>8000</v>
      </c>
    </row>
    <row r="79" spans="1:18" s="6" customFormat="1" ht="16.05" customHeight="1">
      <c r="A79" s="416"/>
      <c r="B79" s="432"/>
      <c r="C79" s="416"/>
      <c r="D79" s="36" t="s">
        <v>31</v>
      </c>
      <c r="E79" s="9" t="s">
        <v>32</v>
      </c>
      <c r="F79" s="9">
        <f>F80+F81+24</f>
        <v>60</v>
      </c>
      <c r="G79" s="9">
        <v>5</v>
      </c>
      <c r="H79" s="9">
        <v>50</v>
      </c>
      <c r="I79" s="9">
        <f t="shared" si="27"/>
        <v>15000</v>
      </c>
      <c r="J79" s="26"/>
      <c r="K79" s="26" t="s">
        <v>25</v>
      </c>
      <c r="L79" s="28"/>
      <c r="M79" s="40" t="str">
        <f t="shared" si="28"/>
        <v/>
      </c>
      <c r="N79" s="26">
        <f t="shared" si="29"/>
        <v>15000</v>
      </c>
      <c r="O79" s="41" t="str">
        <f t="shared" si="30"/>
        <v/>
      </c>
      <c r="P79" s="57">
        <f t="shared" si="31"/>
        <v>15000</v>
      </c>
    </row>
    <row r="80" spans="1:18" s="6" customFormat="1" ht="16.05" customHeight="1">
      <c r="A80" s="416"/>
      <c r="B80" s="432"/>
      <c r="C80" s="416"/>
      <c r="D80" s="36" t="s">
        <v>115</v>
      </c>
      <c r="E80" s="9" t="s">
        <v>116</v>
      </c>
      <c r="F80" s="9">
        <f>3*3</f>
        <v>9</v>
      </c>
      <c r="G80" s="9">
        <v>5</v>
      </c>
      <c r="H80" s="9">
        <v>110</v>
      </c>
      <c r="I80" s="9">
        <f t="shared" si="27"/>
        <v>4950</v>
      </c>
      <c r="J80" s="26"/>
      <c r="K80" s="26" t="s">
        <v>25</v>
      </c>
      <c r="L80" s="28"/>
      <c r="M80" s="40"/>
      <c r="N80" s="26">
        <f t="shared" si="29"/>
        <v>4950</v>
      </c>
      <c r="O80" s="41" t="str">
        <f t="shared" si="30"/>
        <v/>
      </c>
      <c r="P80" s="57">
        <f t="shared" si="31"/>
        <v>4950</v>
      </c>
    </row>
    <row r="81" spans="1:16" s="6" customFormat="1" ht="16.05" customHeight="1">
      <c r="A81" s="416"/>
      <c r="B81" s="432"/>
      <c r="C81" s="418"/>
      <c r="D81" s="36" t="s">
        <v>115</v>
      </c>
      <c r="E81" s="9" t="s">
        <v>117</v>
      </c>
      <c r="F81" s="9">
        <f>3*9</f>
        <v>27</v>
      </c>
      <c r="G81" s="9">
        <v>5</v>
      </c>
      <c r="H81" s="9">
        <v>80</v>
      </c>
      <c r="I81" s="9">
        <f t="shared" si="27"/>
        <v>10800</v>
      </c>
      <c r="J81" s="26"/>
      <c r="K81" s="26" t="s">
        <v>25</v>
      </c>
      <c r="L81" s="28"/>
      <c r="M81" s="40"/>
      <c r="N81" s="26">
        <f t="shared" si="29"/>
        <v>10800</v>
      </c>
      <c r="O81" s="41" t="str">
        <f t="shared" si="30"/>
        <v/>
      </c>
      <c r="P81" s="57">
        <f t="shared" si="31"/>
        <v>10800</v>
      </c>
    </row>
    <row r="82" spans="1:16" s="6" customFormat="1" ht="16.95" customHeight="1">
      <c r="A82" s="416"/>
      <c r="B82" s="432"/>
      <c r="C82" s="123" t="s">
        <v>118</v>
      </c>
      <c r="D82" s="36" t="s">
        <v>23</v>
      </c>
      <c r="E82" s="9" t="s">
        <v>35</v>
      </c>
      <c r="F82" s="9">
        <v>3</v>
      </c>
      <c r="G82" s="9">
        <v>5</v>
      </c>
      <c r="H82" s="9">
        <v>400</v>
      </c>
      <c r="I82" s="9">
        <f t="shared" si="27"/>
        <v>6000</v>
      </c>
      <c r="J82" s="26"/>
      <c r="K82" s="26" t="s">
        <v>25</v>
      </c>
      <c r="L82" s="28"/>
      <c r="M82" s="40" t="str">
        <f>IF(AND($J82&gt;0,$K82&gt;0,$L82&gt;0),$I82/3,IF(AND($J82&gt;0,$K82&gt;0),$I82/2,IF(AND(J82="",OR($K82&gt;0,$L82&gt;0)),"",$I82)))</f>
        <v/>
      </c>
      <c r="N82" s="26">
        <f t="shared" si="29"/>
        <v>6000</v>
      </c>
      <c r="O82" s="41" t="str">
        <f t="shared" si="30"/>
        <v/>
      </c>
      <c r="P82" s="57">
        <f t="shared" si="31"/>
        <v>6000</v>
      </c>
    </row>
    <row r="83" spans="1:16" s="6" customFormat="1" ht="34.049999999999997" customHeight="1">
      <c r="A83" s="416"/>
      <c r="B83" s="432"/>
      <c r="C83" s="123" t="s">
        <v>119</v>
      </c>
      <c r="D83" s="36" t="s">
        <v>23</v>
      </c>
      <c r="E83" s="9" t="s">
        <v>27</v>
      </c>
      <c r="F83" s="9">
        <v>2</v>
      </c>
      <c r="G83" s="9">
        <v>10</v>
      </c>
      <c r="H83" s="9">
        <v>300</v>
      </c>
      <c r="I83" s="9">
        <f t="shared" si="27"/>
        <v>6000</v>
      </c>
      <c r="J83" s="26"/>
      <c r="K83" s="26" t="s">
        <v>25</v>
      </c>
      <c r="L83" s="28"/>
      <c r="M83" s="40" t="str">
        <f>IF(AND($J83&gt;0,$K83&gt;0,$L83&gt;0),$I83/3,IF(AND($J83&gt;0,$K83&gt;0),$I83/2,IF(AND(J83="",OR($K83&gt;0,$L83&gt;0)),"",$I83)))</f>
        <v/>
      </c>
      <c r="N83" s="26">
        <f t="shared" si="29"/>
        <v>6000</v>
      </c>
      <c r="O83" s="41" t="str">
        <f t="shared" si="30"/>
        <v/>
      </c>
      <c r="P83" s="57">
        <f t="shared" si="31"/>
        <v>6000</v>
      </c>
    </row>
    <row r="84" spans="1:16" s="6" customFormat="1" ht="16.95" customHeight="1">
      <c r="A84" s="416"/>
      <c r="B84" s="432"/>
      <c r="C84" s="123" t="s">
        <v>120</v>
      </c>
      <c r="D84" s="36" t="s">
        <v>23</v>
      </c>
      <c r="E84" s="9" t="s">
        <v>27</v>
      </c>
      <c r="F84" s="9">
        <v>2</v>
      </c>
      <c r="G84" s="9">
        <v>10</v>
      </c>
      <c r="H84" s="9">
        <v>300</v>
      </c>
      <c r="I84" s="9">
        <f t="shared" si="27"/>
        <v>6000</v>
      </c>
      <c r="J84" s="26"/>
      <c r="K84" s="26" t="s">
        <v>25</v>
      </c>
      <c r="L84" s="28"/>
      <c r="M84" s="40" t="str">
        <f>IF(AND($J84&gt;0,$K84&gt;0,$L84&gt;0),$I84/3,IF(AND($J84&gt;0,$K84&gt;0),$I84/2,IF(AND(J84="",OR($K84&gt;0,$L84&gt;0)),"",$I84)))</f>
        <v/>
      </c>
      <c r="N84" s="26">
        <f t="shared" si="29"/>
        <v>6000</v>
      </c>
      <c r="O84" s="41" t="str">
        <f t="shared" si="30"/>
        <v/>
      </c>
      <c r="P84" s="57">
        <f t="shared" si="31"/>
        <v>6000</v>
      </c>
    </row>
    <row r="85" spans="1:16" s="6" customFormat="1" ht="18" customHeight="1" thickBot="1">
      <c r="A85" s="416"/>
      <c r="B85" s="432"/>
      <c r="C85" s="124" t="s">
        <v>121</v>
      </c>
      <c r="D85" s="122" t="s">
        <v>23</v>
      </c>
      <c r="E85" s="58" t="s">
        <v>35</v>
      </c>
      <c r="F85" s="58">
        <v>3</v>
      </c>
      <c r="G85" s="58">
        <f>4*4*2</f>
        <v>32</v>
      </c>
      <c r="H85" s="58">
        <v>300</v>
      </c>
      <c r="I85" s="58">
        <f t="shared" si="27"/>
        <v>28800</v>
      </c>
      <c r="J85" s="59"/>
      <c r="K85" s="59" t="s">
        <v>25</v>
      </c>
      <c r="L85" s="60"/>
      <c r="M85" s="61" t="str">
        <f>IF(AND($J85&gt;0,$K85&gt;0,$L85&gt;0),$I85/3,IF(AND($J85&gt;0,$K85&gt;0),$I85/2,IF(AND(J85="",OR($K85&gt;0,$L85&gt;0)),"",$I85)))</f>
        <v/>
      </c>
      <c r="N85" s="59">
        <f t="shared" si="29"/>
        <v>28800</v>
      </c>
      <c r="O85" s="62" t="str">
        <f t="shared" si="30"/>
        <v/>
      </c>
      <c r="P85" s="63">
        <f t="shared" si="31"/>
        <v>28800</v>
      </c>
    </row>
    <row r="86" spans="1:16" s="6" customFormat="1" ht="16.95" customHeight="1" thickBot="1">
      <c r="A86" s="418"/>
      <c r="B86" s="433"/>
      <c r="C86" s="118"/>
      <c r="D86" s="64"/>
      <c r="E86" s="64"/>
      <c r="F86" s="64"/>
      <c r="G86" s="64"/>
      <c r="H86" s="64"/>
      <c r="I86" s="64">
        <f>SUM(I70:I85)</f>
        <v>171550</v>
      </c>
      <c r="J86" s="467" t="s">
        <v>38</v>
      </c>
      <c r="K86" s="426"/>
      <c r="L86" s="427"/>
      <c r="M86" s="65">
        <f>SUM(M70:M85)</f>
        <v>86000</v>
      </c>
      <c r="N86" s="64">
        <f>SUM(N70:N85)</f>
        <v>85550</v>
      </c>
      <c r="O86" s="66">
        <f>SUM(O70:O85)</f>
        <v>0</v>
      </c>
      <c r="P86" s="67">
        <f t="shared" si="31"/>
        <v>171550</v>
      </c>
    </row>
    <row r="87" spans="1:16" s="6" customFormat="1" ht="16.05" customHeight="1">
      <c r="A87" s="430" t="s">
        <v>122</v>
      </c>
      <c r="B87" s="431" t="s">
        <v>123</v>
      </c>
      <c r="C87" s="420" t="s">
        <v>124</v>
      </c>
      <c r="D87" s="142" t="s">
        <v>23</v>
      </c>
      <c r="E87" s="72" t="s">
        <v>125</v>
      </c>
      <c r="F87" s="72">
        <v>3</v>
      </c>
      <c r="G87" s="72">
        <v>10</v>
      </c>
      <c r="H87" s="72">
        <v>400</v>
      </c>
      <c r="I87" s="143">
        <f t="shared" ref="I87:I102" si="32">F87*G87*H87</f>
        <v>12000</v>
      </c>
      <c r="J87" s="50"/>
      <c r="K87" s="33" t="s">
        <v>25</v>
      </c>
      <c r="L87" s="47"/>
      <c r="M87" s="48" t="str">
        <f t="shared" ref="M87:M102" si="33">IF(AND($J87&gt;0,$K87&gt;0,$L87&gt;0),$I87/3,IF(AND($J87&gt;0,$K87&gt;0),$I87/2,IF(AND(J87="",OR($K87&gt;0,$L87&gt;0)),"",$I87)))</f>
        <v/>
      </c>
      <c r="N87" s="33">
        <f t="shared" ref="N87:N102" si="34">IF(AND($J87&gt;0,$K87&gt;0,$L87&gt;0),$I87/3,IF(AND($J87&gt;0,$K87&gt;0),$I87/2,IF(AND($J87="",$K87&gt;0),$I87,"")))</f>
        <v>12000</v>
      </c>
      <c r="O87" s="49" t="str">
        <f t="shared" ref="O87:O102" si="35">IF(AND($J87&gt;0,$K87&gt;0,$L87&gt;0),$I87/3,IF(AND(J87="",$K87&gt;0,$L87&gt;0),$I87/2,IF(AND($J87="",$K87="",L87&gt;0),$I87,"")))</f>
        <v/>
      </c>
      <c r="P87" s="56">
        <f t="shared" si="31"/>
        <v>12000</v>
      </c>
    </row>
    <row r="88" spans="1:16" s="6" customFormat="1" ht="16.05" customHeight="1">
      <c r="A88" s="416"/>
      <c r="B88" s="432"/>
      <c r="C88" s="418"/>
      <c r="D88" s="144" t="s">
        <v>23</v>
      </c>
      <c r="E88" s="9" t="s">
        <v>32</v>
      </c>
      <c r="F88" s="9">
        <v>20</v>
      </c>
      <c r="G88" s="9">
        <v>5</v>
      </c>
      <c r="H88" s="9">
        <v>50</v>
      </c>
      <c r="I88" s="145">
        <f t="shared" si="32"/>
        <v>5000</v>
      </c>
      <c r="J88" s="36"/>
      <c r="K88" s="26" t="s">
        <v>25</v>
      </c>
      <c r="L88" s="28"/>
      <c r="M88" s="40" t="str">
        <f t="shared" si="33"/>
        <v/>
      </c>
      <c r="N88" s="26">
        <f t="shared" si="34"/>
        <v>5000</v>
      </c>
      <c r="O88" s="41" t="str">
        <f t="shared" si="35"/>
        <v/>
      </c>
      <c r="P88" s="57">
        <f t="shared" si="31"/>
        <v>5000</v>
      </c>
    </row>
    <row r="89" spans="1:16" s="6" customFormat="1" ht="17.25" customHeight="1">
      <c r="A89" s="416"/>
      <c r="B89" s="432"/>
      <c r="C89" s="419" t="s">
        <v>126</v>
      </c>
      <c r="D89" s="144" t="s">
        <v>23</v>
      </c>
      <c r="E89" s="9" t="s">
        <v>127</v>
      </c>
      <c r="F89" s="9">
        <v>2</v>
      </c>
      <c r="G89" s="9">
        <v>2</v>
      </c>
      <c r="H89" s="9">
        <v>400</v>
      </c>
      <c r="I89" s="145">
        <f t="shared" si="32"/>
        <v>1600</v>
      </c>
      <c r="J89" s="36"/>
      <c r="K89" s="26" t="s">
        <v>25</v>
      </c>
      <c r="L89" s="28"/>
      <c r="M89" s="40" t="str">
        <f t="shared" si="33"/>
        <v/>
      </c>
      <c r="N89" s="26">
        <f t="shared" si="34"/>
        <v>1600</v>
      </c>
      <c r="O89" s="41" t="str">
        <f t="shared" si="35"/>
        <v/>
      </c>
      <c r="P89" s="57">
        <f t="shared" si="31"/>
        <v>1600</v>
      </c>
    </row>
    <row r="90" spans="1:16" s="6" customFormat="1" ht="17.25" customHeight="1">
      <c r="A90" s="416"/>
      <c r="B90" s="432"/>
      <c r="C90" s="418"/>
      <c r="D90" s="144" t="s">
        <v>31</v>
      </c>
      <c r="E90" s="9" t="s">
        <v>128</v>
      </c>
      <c r="F90" s="9">
        <v>20</v>
      </c>
      <c r="G90" s="9">
        <v>1</v>
      </c>
      <c r="H90" s="9">
        <v>50</v>
      </c>
      <c r="I90" s="145">
        <f t="shared" si="32"/>
        <v>1000</v>
      </c>
      <c r="J90" s="36"/>
      <c r="K90" s="26" t="s">
        <v>25</v>
      </c>
      <c r="L90" s="28"/>
      <c r="M90" s="40" t="str">
        <f t="shared" si="33"/>
        <v/>
      </c>
      <c r="N90" s="26">
        <f t="shared" si="34"/>
        <v>1000</v>
      </c>
      <c r="O90" s="41" t="str">
        <f t="shared" si="35"/>
        <v/>
      </c>
      <c r="P90" s="57">
        <f t="shared" si="31"/>
        <v>1000</v>
      </c>
    </row>
    <row r="91" spans="1:16" s="6" customFormat="1" ht="17.25" customHeight="1">
      <c r="A91" s="416"/>
      <c r="B91" s="432"/>
      <c r="C91" s="123" t="s">
        <v>129</v>
      </c>
      <c r="D91" s="144" t="s">
        <v>23</v>
      </c>
      <c r="E91" s="9" t="s">
        <v>35</v>
      </c>
      <c r="F91" s="9">
        <v>3</v>
      </c>
      <c r="G91" s="9">
        <v>14</v>
      </c>
      <c r="H91" s="9">
        <v>400</v>
      </c>
      <c r="I91" s="145">
        <f t="shared" si="32"/>
        <v>16800</v>
      </c>
      <c r="J91" s="36"/>
      <c r="K91" s="26" t="s">
        <v>25</v>
      </c>
      <c r="L91" s="28"/>
      <c r="M91" s="40" t="str">
        <f t="shared" si="33"/>
        <v/>
      </c>
      <c r="N91" s="26">
        <f t="shared" si="34"/>
        <v>16800</v>
      </c>
      <c r="O91" s="41" t="str">
        <f t="shared" si="35"/>
        <v/>
      </c>
      <c r="P91" s="57">
        <f t="shared" si="31"/>
        <v>16800</v>
      </c>
    </row>
    <row r="92" spans="1:16" s="6" customFormat="1" ht="16.95" customHeight="1">
      <c r="A92" s="416"/>
      <c r="B92" s="432"/>
      <c r="C92" s="123" t="s">
        <v>112</v>
      </c>
      <c r="D92" s="144" t="s">
        <v>23</v>
      </c>
      <c r="E92" s="9" t="s">
        <v>35</v>
      </c>
      <c r="F92" s="9">
        <v>3</v>
      </c>
      <c r="G92" s="9">
        <v>30</v>
      </c>
      <c r="H92" s="9">
        <v>400</v>
      </c>
      <c r="I92" s="145">
        <f t="shared" si="32"/>
        <v>36000</v>
      </c>
      <c r="J92" s="36"/>
      <c r="K92" s="26" t="s">
        <v>25</v>
      </c>
      <c r="L92" s="28"/>
      <c r="M92" s="40" t="str">
        <f t="shared" si="33"/>
        <v/>
      </c>
      <c r="N92" s="26">
        <f t="shared" si="34"/>
        <v>36000</v>
      </c>
      <c r="O92" s="41" t="str">
        <f t="shared" si="35"/>
        <v/>
      </c>
      <c r="P92" s="57">
        <f t="shared" si="31"/>
        <v>36000</v>
      </c>
    </row>
    <row r="93" spans="1:16" s="6" customFormat="1" ht="16.05" customHeight="1">
      <c r="A93" s="416"/>
      <c r="B93" s="432"/>
      <c r="C93" s="419" t="s">
        <v>113</v>
      </c>
      <c r="D93" s="144" t="s">
        <v>23</v>
      </c>
      <c r="E93" s="9" t="s">
        <v>27</v>
      </c>
      <c r="F93" s="9">
        <v>3</v>
      </c>
      <c r="G93" s="9">
        <v>10</v>
      </c>
      <c r="H93" s="9">
        <v>400</v>
      </c>
      <c r="I93" s="145">
        <f t="shared" si="32"/>
        <v>12000</v>
      </c>
      <c r="J93" s="141"/>
      <c r="K93" s="9"/>
      <c r="L93" s="28" t="s">
        <v>25</v>
      </c>
      <c r="M93" s="40" t="str">
        <f t="shared" si="33"/>
        <v/>
      </c>
      <c r="N93" s="26" t="str">
        <f t="shared" si="34"/>
        <v/>
      </c>
      <c r="O93" s="41">
        <f t="shared" si="35"/>
        <v>12000</v>
      </c>
      <c r="P93" s="57">
        <f t="shared" si="31"/>
        <v>12000</v>
      </c>
    </row>
    <row r="94" spans="1:16" s="6" customFormat="1" ht="16.05" customHeight="1">
      <c r="A94" s="416"/>
      <c r="B94" s="432"/>
      <c r="C94" s="418"/>
      <c r="D94" s="144" t="s">
        <v>31</v>
      </c>
      <c r="E94" s="9" t="s">
        <v>128</v>
      </c>
      <c r="F94" s="9">
        <f>52</f>
        <v>52</v>
      </c>
      <c r="G94" s="9">
        <v>5</v>
      </c>
      <c r="H94" s="9">
        <v>50</v>
      </c>
      <c r="I94" s="145">
        <f t="shared" si="32"/>
        <v>13000</v>
      </c>
      <c r="J94" s="141"/>
      <c r="K94" s="9"/>
      <c r="L94" s="28" t="s">
        <v>25</v>
      </c>
      <c r="M94" s="40" t="str">
        <f t="shared" si="33"/>
        <v/>
      </c>
      <c r="N94" s="26" t="str">
        <f t="shared" si="34"/>
        <v/>
      </c>
      <c r="O94" s="41">
        <f t="shared" si="35"/>
        <v>13000</v>
      </c>
      <c r="P94" s="57">
        <f t="shared" si="31"/>
        <v>13000</v>
      </c>
    </row>
    <row r="95" spans="1:16" s="6" customFormat="1" ht="16.05" customHeight="1">
      <c r="A95" s="416"/>
      <c r="B95" s="432"/>
      <c r="C95" s="419" t="s">
        <v>130</v>
      </c>
      <c r="D95" s="144" t="s">
        <v>23</v>
      </c>
      <c r="E95" s="9" t="s">
        <v>27</v>
      </c>
      <c r="F95" s="9">
        <v>2</v>
      </c>
      <c r="G95" s="9">
        <v>10</v>
      </c>
      <c r="H95" s="9">
        <v>400</v>
      </c>
      <c r="I95" s="145">
        <f t="shared" si="32"/>
        <v>8000</v>
      </c>
      <c r="J95" s="141"/>
      <c r="K95" s="9"/>
      <c r="L95" s="28" t="s">
        <v>25</v>
      </c>
      <c r="M95" s="40" t="str">
        <f t="shared" si="33"/>
        <v/>
      </c>
      <c r="N95" s="26" t="str">
        <f t="shared" si="34"/>
        <v/>
      </c>
      <c r="O95" s="41">
        <f t="shared" si="35"/>
        <v>8000</v>
      </c>
      <c r="P95" s="57">
        <f t="shared" si="31"/>
        <v>8000</v>
      </c>
    </row>
    <row r="96" spans="1:16" s="6" customFormat="1" ht="16.05" customHeight="1">
      <c r="A96" s="416"/>
      <c r="B96" s="432"/>
      <c r="C96" s="418"/>
      <c r="D96" s="144" t="s">
        <v>31</v>
      </c>
      <c r="E96" s="9" t="s">
        <v>32</v>
      </c>
      <c r="F96" s="9">
        <f>F97+F98+24</f>
        <v>60</v>
      </c>
      <c r="G96" s="9">
        <v>5</v>
      </c>
      <c r="H96" s="9">
        <v>50</v>
      </c>
      <c r="I96" s="145">
        <f t="shared" si="32"/>
        <v>15000</v>
      </c>
      <c r="J96" s="141"/>
      <c r="K96" s="9"/>
      <c r="L96" s="28" t="s">
        <v>25</v>
      </c>
      <c r="M96" s="40" t="str">
        <f t="shared" si="33"/>
        <v/>
      </c>
      <c r="N96" s="26" t="str">
        <f t="shared" si="34"/>
        <v/>
      </c>
      <c r="O96" s="41">
        <f t="shared" si="35"/>
        <v>15000</v>
      </c>
      <c r="P96" s="57">
        <f t="shared" si="31"/>
        <v>15000</v>
      </c>
    </row>
    <row r="97" spans="1:16" s="6" customFormat="1" ht="16.05" customHeight="1">
      <c r="A97" s="416"/>
      <c r="B97" s="432"/>
      <c r="C97" s="115"/>
      <c r="D97" s="144" t="s">
        <v>115</v>
      </c>
      <c r="E97" s="9" t="s">
        <v>116</v>
      </c>
      <c r="F97" s="9">
        <f>3*3</f>
        <v>9</v>
      </c>
      <c r="G97" s="9">
        <v>5</v>
      </c>
      <c r="H97" s="9">
        <v>110</v>
      </c>
      <c r="I97" s="145">
        <f t="shared" si="32"/>
        <v>4950</v>
      </c>
      <c r="J97" s="141"/>
      <c r="K97" s="9"/>
      <c r="L97" s="28" t="s">
        <v>25</v>
      </c>
      <c r="M97" s="40" t="str">
        <f t="shared" si="33"/>
        <v/>
      </c>
      <c r="N97" s="26" t="str">
        <f t="shared" si="34"/>
        <v/>
      </c>
      <c r="O97" s="41">
        <f t="shared" si="35"/>
        <v>4950</v>
      </c>
      <c r="P97" s="57">
        <f t="shared" si="31"/>
        <v>4950</v>
      </c>
    </row>
    <row r="98" spans="1:16" s="6" customFormat="1" ht="16.05" customHeight="1">
      <c r="A98" s="416"/>
      <c r="B98" s="432"/>
      <c r="C98" s="115"/>
      <c r="D98" s="144" t="s">
        <v>115</v>
      </c>
      <c r="E98" s="9" t="s">
        <v>117</v>
      </c>
      <c r="F98" s="9">
        <f>3*9</f>
        <v>27</v>
      </c>
      <c r="G98" s="9">
        <v>5</v>
      </c>
      <c r="H98" s="9">
        <v>80</v>
      </c>
      <c r="I98" s="145">
        <f t="shared" si="32"/>
        <v>10800</v>
      </c>
      <c r="J98" s="141"/>
      <c r="K98" s="9"/>
      <c r="L98" s="28" t="s">
        <v>25</v>
      </c>
      <c r="M98" s="40" t="str">
        <f t="shared" si="33"/>
        <v/>
      </c>
      <c r="N98" s="26" t="str">
        <f t="shared" si="34"/>
        <v/>
      </c>
      <c r="O98" s="41">
        <f t="shared" si="35"/>
        <v>10800</v>
      </c>
      <c r="P98" s="57">
        <f t="shared" si="31"/>
        <v>10800</v>
      </c>
    </row>
    <row r="99" spans="1:16" s="6" customFormat="1" ht="16.95" customHeight="1">
      <c r="A99" s="416"/>
      <c r="B99" s="432"/>
      <c r="C99" s="123" t="s">
        <v>118</v>
      </c>
      <c r="D99" s="144" t="s">
        <v>23</v>
      </c>
      <c r="E99" s="9" t="s">
        <v>72</v>
      </c>
      <c r="F99" s="9">
        <v>2</v>
      </c>
      <c r="G99" s="9">
        <v>10</v>
      </c>
      <c r="H99" s="9">
        <v>400</v>
      </c>
      <c r="I99" s="145">
        <f t="shared" si="32"/>
        <v>8000</v>
      </c>
      <c r="J99" s="141"/>
      <c r="K99" s="9"/>
      <c r="L99" s="28" t="s">
        <v>25</v>
      </c>
      <c r="M99" s="40" t="str">
        <f t="shared" si="33"/>
        <v/>
      </c>
      <c r="N99" s="26" t="str">
        <f t="shared" si="34"/>
        <v/>
      </c>
      <c r="O99" s="41">
        <f t="shared" si="35"/>
        <v>8000</v>
      </c>
      <c r="P99" s="57">
        <f t="shared" si="31"/>
        <v>8000</v>
      </c>
    </row>
    <row r="100" spans="1:16" s="6" customFormat="1" ht="34.049999999999997" customHeight="1">
      <c r="A100" s="416"/>
      <c r="B100" s="432"/>
      <c r="C100" s="123" t="s">
        <v>119</v>
      </c>
      <c r="D100" s="144" t="s">
        <v>23</v>
      </c>
      <c r="E100" s="9" t="s">
        <v>27</v>
      </c>
      <c r="F100" s="9">
        <v>2</v>
      </c>
      <c r="G100" s="9">
        <v>10</v>
      </c>
      <c r="H100" s="9">
        <v>300</v>
      </c>
      <c r="I100" s="145">
        <f t="shared" si="32"/>
        <v>6000</v>
      </c>
      <c r="J100" s="141"/>
      <c r="K100" s="9"/>
      <c r="L100" s="28" t="s">
        <v>25</v>
      </c>
      <c r="M100" s="40" t="str">
        <f t="shared" si="33"/>
        <v/>
      </c>
      <c r="N100" s="26" t="str">
        <f t="shared" si="34"/>
        <v/>
      </c>
      <c r="O100" s="41">
        <f t="shared" si="35"/>
        <v>6000</v>
      </c>
      <c r="P100" s="57">
        <f t="shared" si="31"/>
        <v>6000</v>
      </c>
    </row>
    <row r="101" spans="1:16" s="6" customFormat="1" ht="16.95" customHeight="1">
      <c r="A101" s="416"/>
      <c r="B101" s="432"/>
      <c r="C101" s="123" t="s">
        <v>120</v>
      </c>
      <c r="D101" s="144" t="s">
        <v>23</v>
      </c>
      <c r="E101" s="9" t="s">
        <v>27</v>
      </c>
      <c r="F101" s="9">
        <v>2</v>
      </c>
      <c r="G101" s="9">
        <v>10</v>
      </c>
      <c r="H101" s="9">
        <v>300</v>
      </c>
      <c r="I101" s="145">
        <f t="shared" si="32"/>
        <v>6000</v>
      </c>
      <c r="J101" s="141"/>
      <c r="K101" s="9"/>
      <c r="L101" s="28" t="s">
        <v>25</v>
      </c>
      <c r="M101" s="40" t="str">
        <f t="shared" si="33"/>
        <v/>
      </c>
      <c r="N101" s="26" t="str">
        <f t="shared" si="34"/>
        <v/>
      </c>
      <c r="O101" s="41">
        <f t="shared" si="35"/>
        <v>6000</v>
      </c>
      <c r="P101" s="57">
        <f t="shared" si="31"/>
        <v>6000</v>
      </c>
    </row>
    <row r="102" spans="1:16" s="6" customFormat="1" ht="18" customHeight="1" thickBot="1">
      <c r="A102" s="416"/>
      <c r="B102" s="432"/>
      <c r="C102" s="124" t="s">
        <v>131</v>
      </c>
      <c r="D102" s="146" t="s">
        <v>23</v>
      </c>
      <c r="E102" s="58" t="s">
        <v>132</v>
      </c>
      <c r="F102" s="58">
        <v>2</v>
      </c>
      <c r="G102" s="58">
        <f>4*4</f>
        <v>16</v>
      </c>
      <c r="H102" s="58">
        <v>300</v>
      </c>
      <c r="I102" s="147">
        <f t="shared" si="32"/>
        <v>9600</v>
      </c>
      <c r="J102" s="141"/>
      <c r="K102" s="9"/>
      <c r="L102" s="28" t="s">
        <v>25</v>
      </c>
      <c r="M102" s="93" t="str">
        <f t="shared" si="33"/>
        <v/>
      </c>
      <c r="N102" s="94" t="str">
        <f t="shared" si="34"/>
        <v/>
      </c>
      <c r="O102" s="95">
        <f t="shared" si="35"/>
        <v>9600</v>
      </c>
      <c r="P102" s="96">
        <f t="shared" ref="P102:P133" si="36">SUM(M102:O102)</f>
        <v>9600</v>
      </c>
    </row>
    <row r="103" spans="1:16" s="6" customFormat="1" ht="16.95" customHeight="1" thickBot="1">
      <c r="A103" s="418"/>
      <c r="B103" s="433"/>
      <c r="C103" s="148"/>
      <c r="D103" s="65"/>
      <c r="E103" s="64"/>
      <c r="F103" s="64"/>
      <c r="G103" s="64"/>
      <c r="H103" s="64"/>
      <c r="I103" s="66">
        <f>SUM(I87:I102)</f>
        <v>165750</v>
      </c>
      <c r="J103" s="468" t="s">
        <v>38</v>
      </c>
      <c r="K103" s="423"/>
      <c r="L103" s="424"/>
      <c r="M103" s="97">
        <f>SUM(M87:M102)</f>
        <v>0</v>
      </c>
      <c r="N103" s="98">
        <f>SUM(N87:N102)</f>
        <v>72400</v>
      </c>
      <c r="O103" s="100">
        <f>SUM(O87:O102)</f>
        <v>93350</v>
      </c>
      <c r="P103" s="101">
        <f t="shared" si="36"/>
        <v>165750</v>
      </c>
    </row>
    <row r="104" spans="1:16" s="6" customFormat="1" ht="34.049999999999997" customHeight="1">
      <c r="A104" s="110" t="s">
        <v>133</v>
      </c>
      <c r="B104" s="113" t="s">
        <v>134</v>
      </c>
      <c r="C104" s="420" t="s">
        <v>124</v>
      </c>
      <c r="D104" s="50" t="s">
        <v>23</v>
      </c>
      <c r="E104" s="46" t="s">
        <v>125</v>
      </c>
      <c r="F104" s="46">
        <v>3</v>
      </c>
      <c r="G104" s="46">
        <v>10</v>
      </c>
      <c r="H104" s="46">
        <v>400</v>
      </c>
      <c r="I104" s="46">
        <f t="shared" ref="I104:I119" si="37">F104*G104*H104</f>
        <v>12000</v>
      </c>
      <c r="J104" s="46"/>
      <c r="K104" s="33" t="s">
        <v>25</v>
      </c>
      <c r="L104" s="47"/>
      <c r="M104" s="48" t="str">
        <f t="shared" ref="M104:M119" si="38">IF(AND($J104&gt;0,$K104&gt;0,$L104&gt;0),$I104/3,IF(AND($J104&gt;0,$K104&gt;0),$I104/2,IF(AND(J104="",OR($K104&gt;0,$L104&gt;0)),"",$I104)))</f>
        <v/>
      </c>
      <c r="N104" s="33">
        <f t="shared" ref="N104:N119" si="39">IF(AND($J104&gt;0,$K104&gt;0,$L104&gt;0),$I104/3,IF(AND($J104&gt;0,$K104&gt;0),$I104/2,IF(AND($J104="",$K104&gt;0),$I104,"")))</f>
        <v>12000</v>
      </c>
      <c r="O104" s="49" t="str">
        <f t="shared" ref="O104:O119" si="40">IF(AND($J104&gt;0,$K104&gt;0,$L104&gt;0),$I104/3,IF(AND(J104="",$K104&gt;0,$L104&gt;0),$I104/2,IF(AND($J104="",$K104="",L104&gt;0),$I104,"")))</f>
        <v/>
      </c>
      <c r="P104" s="56">
        <f t="shared" si="36"/>
        <v>12000</v>
      </c>
    </row>
    <row r="105" spans="1:16" s="6" customFormat="1" ht="16.05" customHeight="1">
      <c r="A105" s="110"/>
      <c r="B105" s="113"/>
      <c r="C105" s="418"/>
      <c r="D105" s="36" t="s">
        <v>23</v>
      </c>
      <c r="E105" s="9" t="s">
        <v>32</v>
      </c>
      <c r="F105" s="9">
        <v>20</v>
      </c>
      <c r="G105" s="9">
        <v>5</v>
      </c>
      <c r="H105" s="9">
        <v>50</v>
      </c>
      <c r="I105" s="9">
        <f t="shared" si="37"/>
        <v>5000</v>
      </c>
      <c r="J105" s="9"/>
      <c r="K105" s="26" t="s">
        <v>25</v>
      </c>
      <c r="L105" s="28"/>
      <c r="M105" s="40" t="str">
        <f t="shared" si="38"/>
        <v/>
      </c>
      <c r="N105" s="26">
        <f t="shared" si="39"/>
        <v>5000</v>
      </c>
      <c r="O105" s="41" t="str">
        <f t="shared" si="40"/>
        <v/>
      </c>
      <c r="P105" s="57">
        <f t="shared" si="36"/>
        <v>5000</v>
      </c>
    </row>
    <row r="106" spans="1:16" s="6" customFormat="1" ht="16.05" customHeight="1">
      <c r="A106" s="110"/>
      <c r="B106" s="113"/>
      <c r="C106" s="419" t="s">
        <v>126</v>
      </c>
      <c r="D106" s="36" t="s">
        <v>23</v>
      </c>
      <c r="E106" s="9" t="s">
        <v>127</v>
      </c>
      <c r="F106" s="9">
        <v>2</v>
      </c>
      <c r="G106" s="9">
        <v>2</v>
      </c>
      <c r="H106" s="9">
        <v>400</v>
      </c>
      <c r="I106" s="9">
        <f t="shared" si="37"/>
        <v>1600</v>
      </c>
      <c r="J106" s="9"/>
      <c r="K106" s="26" t="s">
        <v>25</v>
      </c>
      <c r="L106" s="28"/>
      <c r="M106" s="40" t="str">
        <f t="shared" si="38"/>
        <v/>
      </c>
      <c r="N106" s="26">
        <f t="shared" si="39"/>
        <v>1600</v>
      </c>
      <c r="O106" s="41" t="str">
        <f t="shared" si="40"/>
        <v/>
      </c>
      <c r="P106" s="57">
        <f t="shared" si="36"/>
        <v>1600</v>
      </c>
    </row>
    <row r="107" spans="1:16" s="6" customFormat="1" ht="16.05" customHeight="1">
      <c r="A107" s="110"/>
      <c r="B107" s="113"/>
      <c r="C107" s="418"/>
      <c r="D107" s="36" t="s">
        <v>31</v>
      </c>
      <c r="E107" s="9" t="s">
        <v>128</v>
      </c>
      <c r="F107" s="9">
        <v>20</v>
      </c>
      <c r="G107" s="9">
        <v>1</v>
      </c>
      <c r="H107" s="9">
        <v>50</v>
      </c>
      <c r="I107" s="9">
        <f t="shared" si="37"/>
        <v>1000</v>
      </c>
      <c r="J107" s="9"/>
      <c r="K107" s="26" t="s">
        <v>25</v>
      </c>
      <c r="L107" s="28"/>
      <c r="M107" s="40" t="str">
        <f t="shared" si="38"/>
        <v/>
      </c>
      <c r="N107" s="26">
        <f t="shared" si="39"/>
        <v>1000</v>
      </c>
      <c r="O107" s="41" t="str">
        <f t="shared" si="40"/>
        <v/>
      </c>
      <c r="P107" s="57">
        <f t="shared" si="36"/>
        <v>1000</v>
      </c>
    </row>
    <row r="108" spans="1:16" s="6" customFormat="1" ht="34.049999999999997" customHeight="1">
      <c r="A108" s="110"/>
      <c r="B108" s="113"/>
      <c r="C108" s="123" t="s">
        <v>129</v>
      </c>
      <c r="D108" s="36" t="s">
        <v>23</v>
      </c>
      <c r="E108" s="9" t="s">
        <v>35</v>
      </c>
      <c r="F108" s="9">
        <v>3</v>
      </c>
      <c r="G108" s="9">
        <v>14</v>
      </c>
      <c r="H108" s="9">
        <v>400</v>
      </c>
      <c r="I108" s="9">
        <f t="shared" si="37"/>
        <v>16800</v>
      </c>
      <c r="J108" s="9"/>
      <c r="K108" s="26" t="s">
        <v>25</v>
      </c>
      <c r="L108" s="28"/>
      <c r="M108" s="40" t="str">
        <f t="shared" si="38"/>
        <v/>
      </c>
      <c r="N108" s="26">
        <f t="shared" si="39"/>
        <v>16800</v>
      </c>
      <c r="O108" s="41" t="str">
        <f t="shared" si="40"/>
        <v/>
      </c>
      <c r="P108" s="57">
        <f t="shared" si="36"/>
        <v>16800</v>
      </c>
    </row>
    <row r="109" spans="1:16" s="6" customFormat="1" ht="16.95" customHeight="1">
      <c r="A109" s="110"/>
      <c r="B109" s="113"/>
      <c r="C109" s="123" t="s">
        <v>112</v>
      </c>
      <c r="D109" s="36" t="s">
        <v>23</v>
      </c>
      <c r="E109" s="9" t="s">
        <v>35</v>
      </c>
      <c r="F109" s="9">
        <v>3</v>
      </c>
      <c r="G109" s="9">
        <v>30</v>
      </c>
      <c r="H109" s="9">
        <v>400</v>
      </c>
      <c r="I109" s="9">
        <f t="shared" si="37"/>
        <v>36000</v>
      </c>
      <c r="J109" s="9"/>
      <c r="K109" s="26" t="s">
        <v>25</v>
      </c>
      <c r="L109" s="28"/>
      <c r="M109" s="40" t="str">
        <f t="shared" si="38"/>
        <v/>
      </c>
      <c r="N109" s="26">
        <f t="shared" si="39"/>
        <v>36000</v>
      </c>
      <c r="O109" s="41" t="str">
        <f t="shared" si="40"/>
        <v/>
      </c>
      <c r="P109" s="57">
        <f t="shared" si="36"/>
        <v>36000</v>
      </c>
    </row>
    <row r="110" spans="1:16" s="6" customFormat="1" ht="16.05" customHeight="1">
      <c r="A110" s="110"/>
      <c r="B110" s="113"/>
      <c r="C110" s="419" t="s">
        <v>113</v>
      </c>
      <c r="D110" s="36" t="s">
        <v>23</v>
      </c>
      <c r="E110" s="9" t="s">
        <v>27</v>
      </c>
      <c r="F110" s="9">
        <v>3</v>
      </c>
      <c r="G110" s="9">
        <v>10</v>
      </c>
      <c r="H110" s="9">
        <v>400</v>
      </c>
      <c r="I110" s="9">
        <f t="shared" si="37"/>
        <v>12000</v>
      </c>
      <c r="J110" s="9"/>
      <c r="K110" s="26"/>
      <c r="L110" s="28" t="s">
        <v>25</v>
      </c>
      <c r="M110" s="40" t="str">
        <f t="shared" si="38"/>
        <v/>
      </c>
      <c r="N110" s="26" t="str">
        <f t="shared" si="39"/>
        <v/>
      </c>
      <c r="O110" s="41">
        <f t="shared" si="40"/>
        <v>12000</v>
      </c>
      <c r="P110" s="57">
        <f t="shared" si="36"/>
        <v>12000</v>
      </c>
    </row>
    <row r="111" spans="1:16" s="6" customFormat="1" ht="16.05" customHeight="1">
      <c r="A111" s="110"/>
      <c r="B111" s="113"/>
      <c r="C111" s="418"/>
      <c r="D111" s="36" t="s">
        <v>31</v>
      </c>
      <c r="E111" s="9" t="s">
        <v>128</v>
      </c>
      <c r="F111" s="9">
        <f>52</f>
        <v>52</v>
      </c>
      <c r="G111" s="9">
        <v>5</v>
      </c>
      <c r="H111" s="9">
        <v>50</v>
      </c>
      <c r="I111" s="9">
        <f t="shared" si="37"/>
        <v>13000</v>
      </c>
      <c r="J111" s="9"/>
      <c r="K111" s="26"/>
      <c r="L111" s="28" t="s">
        <v>25</v>
      </c>
      <c r="M111" s="40" t="str">
        <f t="shared" si="38"/>
        <v/>
      </c>
      <c r="N111" s="26" t="str">
        <f t="shared" si="39"/>
        <v/>
      </c>
      <c r="O111" s="41">
        <f t="shared" si="40"/>
        <v>13000</v>
      </c>
      <c r="P111" s="57">
        <f t="shared" si="36"/>
        <v>13000</v>
      </c>
    </row>
    <row r="112" spans="1:16" s="6" customFormat="1" ht="16.05" customHeight="1">
      <c r="A112" s="110"/>
      <c r="B112" s="113"/>
      <c r="C112" s="419" t="s">
        <v>130</v>
      </c>
      <c r="D112" s="36" t="s">
        <v>23</v>
      </c>
      <c r="E112" s="9" t="s">
        <v>27</v>
      </c>
      <c r="F112" s="9">
        <v>2</v>
      </c>
      <c r="G112" s="9">
        <v>10</v>
      </c>
      <c r="H112" s="9">
        <v>400</v>
      </c>
      <c r="I112" s="9">
        <f t="shared" si="37"/>
        <v>8000</v>
      </c>
      <c r="J112" s="9"/>
      <c r="K112" s="26"/>
      <c r="L112" s="28" t="s">
        <v>25</v>
      </c>
      <c r="M112" s="40" t="str">
        <f t="shared" si="38"/>
        <v/>
      </c>
      <c r="N112" s="26" t="str">
        <f t="shared" si="39"/>
        <v/>
      </c>
      <c r="O112" s="41">
        <f t="shared" si="40"/>
        <v>8000</v>
      </c>
      <c r="P112" s="57">
        <f t="shared" si="36"/>
        <v>8000</v>
      </c>
    </row>
    <row r="113" spans="1:16" s="6" customFormat="1" ht="16.05" customHeight="1">
      <c r="A113" s="110"/>
      <c r="B113" s="113"/>
      <c r="C113" s="418"/>
      <c r="D113" s="36" t="s">
        <v>31</v>
      </c>
      <c r="E113" s="9" t="s">
        <v>32</v>
      </c>
      <c r="F113" s="9">
        <f>F114+F115+24</f>
        <v>60</v>
      </c>
      <c r="G113" s="9">
        <v>5</v>
      </c>
      <c r="H113" s="9">
        <v>50</v>
      </c>
      <c r="I113" s="9">
        <f t="shared" si="37"/>
        <v>15000</v>
      </c>
      <c r="J113" s="9"/>
      <c r="K113" s="26"/>
      <c r="L113" s="28" t="s">
        <v>25</v>
      </c>
      <c r="M113" s="40" t="str">
        <f t="shared" si="38"/>
        <v/>
      </c>
      <c r="N113" s="26" t="str">
        <f t="shared" si="39"/>
        <v/>
      </c>
      <c r="O113" s="41">
        <f t="shared" si="40"/>
        <v>15000</v>
      </c>
      <c r="P113" s="57">
        <f t="shared" si="36"/>
        <v>15000</v>
      </c>
    </row>
    <row r="114" spans="1:16" s="6" customFormat="1" ht="16.05" customHeight="1">
      <c r="A114" s="110"/>
      <c r="B114" s="113"/>
      <c r="C114" s="115"/>
      <c r="D114" s="36" t="s">
        <v>115</v>
      </c>
      <c r="E114" s="9" t="s">
        <v>116</v>
      </c>
      <c r="F114" s="9">
        <f>3*3</f>
        <v>9</v>
      </c>
      <c r="G114" s="9">
        <v>5</v>
      </c>
      <c r="H114" s="9">
        <v>110</v>
      </c>
      <c r="I114" s="9">
        <f t="shared" si="37"/>
        <v>4950</v>
      </c>
      <c r="J114" s="9"/>
      <c r="K114" s="26"/>
      <c r="L114" s="28" t="s">
        <v>25</v>
      </c>
      <c r="M114" s="40" t="str">
        <f t="shared" si="38"/>
        <v/>
      </c>
      <c r="N114" s="26" t="str">
        <f t="shared" si="39"/>
        <v/>
      </c>
      <c r="O114" s="41">
        <f t="shared" si="40"/>
        <v>4950</v>
      </c>
      <c r="P114" s="57">
        <f t="shared" si="36"/>
        <v>4950</v>
      </c>
    </row>
    <row r="115" spans="1:16" s="6" customFormat="1" ht="16.05" customHeight="1">
      <c r="A115" s="110"/>
      <c r="B115" s="113"/>
      <c r="C115" s="115"/>
      <c r="D115" s="36" t="s">
        <v>115</v>
      </c>
      <c r="E115" s="9" t="s">
        <v>117</v>
      </c>
      <c r="F115" s="9">
        <f>3*9</f>
        <v>27</v>
      </c>
      <c r="G115" s="9">
        <v>5</v>
      </c>
      <c r="H115" s="9">
        <v>80</v>
      </c>
      <c r="I115" s="9">
        <f t="shared" si="37"/>
        <v>10800</v>
      </c>
      <c r="J115" s="9"/>
      <c r="K115" s="26"/>
      <c r="L115" s="28" t="s">
        <v>25</v>
      </c>
      <c r="M115" s="40" t="str">
        <f t="shared" si="38"/>
        <v/>
      </c>
      <c r="N115" s="26" t="str">
        <f t="shared" si="39"/>
        <v/>
      </c>
      <c r="O115" s="41">
        <f t="shared" si="40"/>
        <v>10800</v>
      </c>
      <c r="P115" s="57">
        <f t="shared" si="36"/>
        <v>10800</v>
      </c>
    </row>
    <row r="116" spans="1:16" s="6" customFormat="1" ht="16.05" customHeight="1">
      <c r="A116" s="110"/>
      <c r="B116" s="113"/>
      <c r="C116" s="123" t="s">
        <v>118</v>
      </c>
      <c r="D116" s="36" t="s">
        <v>23</v>
      </c>
      <c r="E116" s="9" t="s">
        <v>72</v>
      </c>
      <c r="F116" s="9">
        <v>2</v>
      </c>
      <c r="G116" s="9">
        <v>10</v>
      </c>
      <c r="H116" s="9">
        <v>400</v>
      </c>
      <c r="I116" s="9">
        <f t="shared" si="37"/>
        <v>8000</v>
      </c>
      <c r="J116" s="9"/>
      <c r="K116" s="26"/>
      <c r="L116" s="28" t="s">
        <v>25</v>
      </c>
      <c r="M116" s="40" t="str">
        <f t="shared" si="38"/>
        <v/>
      </c>
      <c r="N116" s="26" t="str">
        <f t="shared" si="39"/>
        <v/>
      </c>
      <c r="O116" s="41">
        <f t="shared" si="40"/>
        <v>8000</v>
      </c>
      <c r="P116" s="57">
        <f t="shared" si="36"/>
        <v>8000</v>
      </c>
    </row>
    <row r="117" spans="1:16" s="6" customFormat="1" ht="34.049999999999997" customHeight="1">
      <c r="A117" s="110"/>
      <c r="B117" s="113"/>
      <c r="C117" s="123" t="s">
        <v>119</v>
      </c>
      <c r="D117" s="36" t="s">
        <v>23</v>
      </c>
      <c r="E117" s="9" t="s">
        <v>27</v>
      </c>
      <c r="F117" s="9">
        <v>2</v>
      </c>
      <c r="G117" s="9">
        <v>10</v>
      </c>
      <c r="H117" s="9">
        <v>300</v>
      </c>
      <c r="I117" s="9">
        <f t="shared" si="37"/>
        <v>6000</v>
      </c>
      <c r="J117" s="9"/>
      <c r="K117" s="26"/>
      <c r="L117" s="28" t="s">
        <v>25</v>
      </c>
      <c r="M117" s="40" t="str">
        <f t="shared" si="38"/>
        <v/>
      </c>
      <c r="N117" s="26" t="str">
        <f t="shared" si="39"/>
        <v/>
      </c>
      <c r="O117" s="41">
        <f t="shared" si="40"/>
        <v>6000</v>
      </c>
      <c r="P117" s="57">
        <f t="shared" si="36"/>
        <v>6000</v>
      </c>
    </row>
    <row r="118" spans="1:16" s="6" customFormat="1" ht="16.95" customHeight="1">
      <c r="A118" s="110"/>
      <c r="B118" s="113"/>
      <c r="C118" s="123" t="s">
        <v>120</v>
      </c>
      <c r="D118" s="36" t="s">
        <v>23</v>
      </c>
      <c r="E118" s="9" t="s">
        <v>27</v>
      </c>
      <c r="F118" s="9">
        <v>2</v>
      </c>
      <c r="G118" s="9">
        <v>10</v>
      </c>
      <c r="H118" s="9">
        <v>300</v>
      </c>
      <c r="I118" s="9">
        <f t="shared" si="37"/>
        <v>6000</v>
      </c>
      <c r="J118" s="9"/>
      <c r="K118" s="26"/>
      <c r="L118" s="28" t="s">
        <v>25</v>
      </c>
      <c r="M118" s="40" t="str">
        <f t="shared" si="38"/>
        <v/>
      </c>
      <c r="N118" s="26" t="str">
        <f t="shared" si="39"/>
        <v/>
      </c>
      <c r="O118" s="41">
        <f t="shared" si="40"/>
        <v>6000</v>
      </c>
      <c r="P118" s="57">
        <f t="shared" si="36"/>
        <v>6000</v>
      </c>
    </row>
    <row r="119" spans="1:16" s="6" customFormat="1" ht="18" customHeight="1" thickBot="1">
      <c r="A119" s="110"/>
      <c r="B119" s="113"/>
      <c r="C119" s="134" t="s">
        <v>131</v>
      </c>
      <c r="D119" s="125" t="s">
        <v>23</v>
      </c>
      <c r="E119" s="91" t="s">
        <v>132</v>
      </c>
      <c r="F119" s="91">
        <v>2</v>
      </c>
      <c r="G119" s="91">
        <f>4*4*1</f>
        <v>16</v>
      </c>
      <c r="H119" s="91">
        <v>300</v>
      </c>
      <c r="I119" s="91">
        <f t="shared" si="37"/>
        <v>9600</v>
      </c>
      <c r="J119" s="9"/>
      <c r="K119" s="26"/>
      <c r="L119" s="28" t="s">
        <v>25</v>
      </c>
      <c r="M119" s="93" t="str">
        <f t="shared" si="38"/>
        <v/>
      </c>
      <c r="N119" s="94" t="str">
        <f t="shared" si="39"/>
        <v/>
      </c>
      <c r="O119" s="95">
        <f t="shared" si="40"/>
        <v>9600</v>
      </c>
      <c r="P119" s="96">
        <f t="shared" si="36"/>
        <v>9600</v>
      </c>
    </row>
    <row r="120" spans="1:16" s="6" customFormat="1" ht="16.95" customHeight="1" thickBot="1">
      <c r="A120" s="111"/>
      <c r="B120" s="114"/>
      <c r="C120" s="139"/>
      <c r="D120" s="109"/>
      <c r="E120" s="98"/>
      <c r="F120" s="98"/>
      <c r="G120" s="98"/>
      <c r="H120" s="98"/>
      <c r="I120" s="100">
        <f>SUM(I104:I119)</f>
        <v>165750</v>
      </c>
      <c r="J120" s="466" t="s">
        <v>38</v>
      </c>
      <c r="K120" s="423"/>
      <c r="L120" s="424"/>
      <c r="M120" s="97">
        <f>SUM(M104:M119)</f>
        <v>0</v>
      </c>
      <c r="N120" s="98">
        <f>SUM(N104:N119)</f>
        <v>72400</v>
      </c>
      <c r="O120" s="100">
        <f>SUM(O104:O119)</f>
        <v>93350</v>
      </c>
      <c r="P120" s="101">
        <f t="shared" si="36"/>
        <v>165750</v>
      </c>
    </row>
    <row r="121" spans="1:16" s="6" customFormat="1" ht="15.75" customHeight="1">
      <c r="A121" s="110" t="s">
        <v>135</v>
      </c>
      <c r="B121" s="459" t="s">
        <v>136</v>
      </c>
      <c r="C121" s="417" t="s">
        <v>137</v>
      </c>
      <c r="D121" s="121" t="s">
        <v>23</v>
      </c>
      <c r="E121" s="72" t="s">
        <v>138</v>
      </c>
      <c r="F121" s="72">
        <v>2</v>
      </c>
      <c r="G121" s="72">
        <v>5</v>
      </c>
      <c r="H121" s="72">
        <v>300</v>
      </c>
      <c r="I121" s="143">
        <f t="shared" ref="I121:I138" si="41">F121*G121*H121</f>
        <v>3000</v>
      </c>
      <c r="J121" s="150"/>
      <c r="K121" s="30"/>
      <c r="L121" s="31" t="s">
        <v>25</v>
      </c>
      <c r="M121" s="48" t="str">
        <f t="shared" ref="M121:M129" si="42">IF(AND($J121&gt;0,$K121&gt;0,$L121&gt;0),$I121/3,IF(AND($J121&gt;0,$K121&gt;0),$I121/2,IF(AND(J121="",OR($K121&gt;0,$L121&gt;0)),"",$I121)))</f>
        <v/>
      </c>
      <c r="N121" s="33" t="str">
        <f t="shared" ref="N121:N129" si="43">IF(AND($J121&gt;0,$K121&gt;0,$L121&gt;0),$I121/3,IF(AND($J121&gt;0,$K121&gt;0),$I121/2,IF(AND(K121="",OR($K121&gt;0,$L121&gt;0)),"",$I121)))</f>
        <v/>
      </c>
      <c r="O121" s="49">
        <f t="shared" ref="O121:O138" si="44">IF(AND($J121&gt;0,$K121&gt;0,$L121&gt;0),$I121/3,IF(AND(J121="",$K121&gt;0,$L121&gt;0),$I121/2,IF(AND($J121="",$K121="",L121&gt;0),$I121,"")))</f>
        <v>3000</v>
      </c>
      <c r="P121" s="50">
        <f t="shared" si="36"/>
        <v>3000</v>
      </c>
    </row>
    <row r="122" spans="1:16" s="6" customFormat="1" ht="15.75" customHeight="1">
      <c r="A122" s="110"/>
      <c r="B122" s="432"/>
      <c r="C122" s="418"/>
      <c r="D122" s="36" t="s">
        <v>31</v>
      </c>
      <c r="E122" s="9" t="s">
        <v>32</v>
      </c>
      <c r="F122" s="9">
        <v>10</v>
      </c>
      <c r="G122" s="9">
        <v>5</v>
      </c>
      <c r="H122" s="9">
        <v>50</v>
      </c>
      <c r="I122" s="145">
        <f t="shared" si="41"/>
        <v>2500</v>
      </c>
      <c r="J122" s="151"/>
      <c r="K122" s="32"/>
      <c r="L122" s="31" t="s">
        <v>25</v>
      </c>
      <c r="M122" s="40" t="str">
        <f t="shared" si="42"/>
        <v/>
      </c>
      <c r="N122" s="26" t="str">
        <f t="shared" si="43"/>
        <v/>
      </c>
      <c r="O122" s="41">
        <f t="shared" si="44"/>
        <v>2500</v>
      </c>
      <c r="P122" s="36">
        <f t="shared" si="36"/>
        <v>2500</v>
      </c>
    </row>
    <row r="123" spans="1:16" s="6" customFormat="1" ht="32.25" customHeight="1">
      <c r="A123" s="110"/>
      <c r="B123" s="432"/>
      <c r="C123" s="123" t="s">
        <v>139</v>
      </c>
      <c r="D123" s="36" t="s">
        <v>23</v>
      </c>
      <c r="E123" s="9" t="s">
        <v>140</v>
      </c>
      <c r="F123" s="9">
        <v>2</v>
      </c>
      <c r="G123" s="9">
        <v>14</v>
      </c>
      <c r="H123" s="9">
        <v>400</v>
      </c>
      <c r="I123" s="145">
        <f t="shared" si="41"/>
        <v>11200</v>
      </c>
      <c r="J123" s="151"/>
      <c r="K123" s="32"/>
      <c r="L123" s="31" t="s">
        <v>25</v>
      </c>
      <c r="M123" s="40" t="str">
        <f t="shared" si="42"/>
        <v/>
      </c>
      <c r="N123" s="26" t="str">
        <f t="shared" si="43"/>
        <v/>
      </c>
      <c r="O123" s="41">
        <f t="shared" si="44"/>
        <v>11200</v>
      </c>
      <c r="P123" s="36">
        <f t="shared" si="36"/>
        <v>11200</v>
      </c>
    </row>
    <row r="124" spans="1:16" s="6" customFormat="1" ht="34.049999999999997" customHeight="1">
      <c r="A124" s="110"/>
      <c r="B124" s="432"/>
      <c r="C124" s="123" t="s">
        <v>141</v>
      </c>
      <c r="D124" s="36" t="s">
        <v>23</v>
      </c>
      <c r="E124" s="9" t="s">
        <v>140</v>
      </c>
      <c r="F124" s="9">
        <v>2</v>
      </c>
      <c r="G124" s="9">
        <v>21</v>
      </c>
      <c r="H124" s="9">
        <v>300</v>
      </c>
      <c r="I124" s="145">
        <f t="shared" si="41"/>
        <v>12600</v>
      </c>
      <c r="J124" s="152"/>
      <c r="K124" s="33"/>
      <c r="L124" s="31" t="s">
        <v>25</v>
      </c>
      <c r="M124" s="40" t="str">
        <f t="shared" si="42"/>
        <v/>
      </c>
      <c r="N124" s="26" t="str">
        <f t="shared" si="43"/>
        <v/>
      </c>
      <c r="O124" s="41">
        <f t="shared" si="44"/>
        <v>12600</v>
      </c>
      <c r="P124" s="36">
        <f t="shared" si="36"/>
        <v>12600</v>
      </c>
    </row>
    <row r="125" spans="1:16" s="6" customFormat="1" ht="34.049999999999997" customHeight="1">
      <c r="A125" s="110"/>
      <c r="B125" s="432"/>
      <c r="C125" s="123" t="s">
        <v>142</v>
      </c>
      <c r="D125" s="36" t="s">
        <v>23</v>
      </c>
      <c r="E125" s="9" t="s">
        <v>132</v>
      </c>
      <c r="F125" s="9">
        <v>3</v>
      </c>
      <c r="G125" s="9">
        <v>21</v>
      </c>
      <c r="H125" s="9">
        <v>300</v>
      </c>
      <c r="I125" s="145">
        <f t="shared" si="41"/>
        <v>18900</v>
      </c>
      <c r="J125" s="141"/>
      <c r="K125" s="26"/>
      <c r="L125" s="31" t="s">
        <v>25</v>
      </c>
      <c r="M125" s="40" t="str">
        <f t="shared" si="42"/>
        <v/>
      </c>
      <c r="N125" s="26" t="str">
        <f t="shared" si="43"/>
        <v/>
      </c>
      <c r="O125" s="41">
        <f t="shared" si="44"/>
        <v>18900</v>
      </c>
      <c r="P125" s="36">
        <f t="shared" si="36"/>
        <v>18900</v>
      </c>
    </row>
    <row r="126" spans="1:16" s="6" customFormat="1" ht="16.05" customHeight="1">
      <c r="A126" s="110"/>
      <c r="B126" s="432"/>
      <c r="C126" s="419" t="s">
        <v>143</v>
      </c>
      <c r="D126" s="36" t="s">
        <v>23</v>
      </c>
      <c r="E126" s="9" t="s">
        <v>144</v>
      </c>
      <c r="F126" s="9">
        <v>4</v>
      </c>
      <c r="G126" s="9">
        <v>21</v>
      </c>
      <c r="H126" s="9">
        <v>300</v>
      </c>
      <c r="I126" s="145">
        <f t="shared" si="41"/>
        <v>25200</v>
      </c>
      <c r="J126" s="141"/>
      <c r="K126" s="26"/>
      <c r="L126" s="31" t="s">
        <v>25</v>
      </c>
      <c r="M126" s="40" t="str">
        <f t="shared" si="42"/>
        <v/>
      </c>
      <c r="N126" s="26" t="str">
        <f t="shared" si="43"/>
        <v/>
      </c>
      <c r="O126" s="41">
        <f t="shared" si="44"/>
        <v>25200</v>
      </c>
      <c r="P126" s="36">
        <f t="shared" si="36"/>
        <v>25200</v>
      </c>
    </row>
    <row r="127" spans="1:16" s="6" customFormat="1" ht="16.05" customHeight="1">
      <c r="A127" s="110"/>
      <c r="B127" s="432"/>
      <c r="C127" s="418"/>
      <c r="D127" s="36" t="s">
        <v>31</v>
      </c>
      <c r="E127" s="9" t="s">
        <v>32</v>
      </c>
      <c r="F127" s="9">
        <v>10</v>
      </c>
      <c r="G127" s="9">
        <v>10</v>
      </c>
      <c r="H127" s="9">
        <v>50</v>
      </c>
      <c r="I127" s="145">
        <f t="shared" si="41"/>
        <v>5000</v>
      </c>
      <c r="J127" s="141"/>
      <c r="K127" s="26"/>
      <c r="L127" s="31" t="s">
        <v>25</v>
      </c>
      <c r="M127" s="40" t="str">
        <f t="shared" si="42"/>
        <v/>
      </c>
      <c r="N127" s="26" t="str">
        <f t="shared" si="43"/>
        <v/>
      </c>
      <c r="O127" s="41">
        <f t="shared" si="44"/>
        <v>5000</v>
      </c>
      <c r="P127" s="36">
        <f t="shared" si="36"/>
        <v>5000</v>
      </c>
    </row>
    <row r="128" spans="1:16" s="6" customFormat="1" ht="34.049999999999997" customHeight="1">
      <c r="A128" s="110"/>
      <c r="B128" s="432"/>
      <c r="C128" s="123" t="s">
        <v>145</v>
      </c>
      <c r="D128" s="36" t="s">
        <v>23</v>
      </c>
      <c r="E128" s="9" t="s">
        <v>146</v>
      </c>
      <c r="F128" s="9">
        <v>3</v>
      </c>
      <c r="G128" s="9">
        <v>18</v>
      </c>
      <c r="H128" s="9">
        <v>300</v>
      </c>
      <c r="I128" s="145">
        <f t="shared" si="41"/>
        <v>16200</v>
      </c>
      <c r="J128" s="141"/>
      <c r="K128" s="26"/>
      <c r="L128" s="31" t="s">
        <v>25</v>
      </c>
      <c r="M128" s="40" t="str">
        <f t="shared" si="42"/>
        <v/>
      </c>
      <c r="N128" s="26" t="str">
        <f t="shared" si="43"/>
        <v/>
      </c>
      <c r="O128" s="41">
        <f t="shared" si="44"/>
        <v>16200</v>
      </c>
      <c r="P128" s="36">
        <f t="shared" si="36"/>
        <v>16200</v>
      </c>
    </row>
    <row r="129" spans="1:16" s="6" customFormat="1" ht="16.95" customHeight="1">
      <c r="A129" s="110"/>
      <c r="B129" s="432"/>
      <c r="C129" s="123" t="s">
        <v>147</v>
      </c>
      <c r="D129" s="36" t="s">
        <v>23</v>
      </c>
      <c r="E129" s="9" t="s">
        <v>146</v>
      </c>
      <c r="F129" s="9">
        <v>3</v>
      </c>
      <c r="G129" s="9">
        <v>14</v>
      </c>
      <c r="H129" s="9">
        <v>300</v>
      </c>
      <c r="I129" s="145">
        <f t="shared" si="41"/>
        <v>12600</v>
      </c>
      <c r="J129" s="141"/>
      <c r="K129" s="26"/>
      <c r="L129" s="31" t="s">
        <v>25</v>
      </c>
      <c r="M129" s="40" t="str">
        <f t="shared" si="42"/>
        <v/>
      </c>
      <c r="N129" s="26" t="str">
        <f t="shared" si="43"/>
        <v/>
      </c>
      <c r="O129" s="41">
        <f t="shared" si="44"/>
        <v>12600</v>
      </c>
      <c r="P129" s="36">
        <f t="shared" si="36"/>
        <v>12600</v>
      </c>
    </row>
    <row r="130" spans="1:16" s="6" customFormat="1" ht="34.049999999999997" customHeight="1">
      <c r="A130" s="110"/>
      <c r="B130" s="432"/>
      <c r="C130" s="123" t="s">
        <v>148</v>
      </c>
      <c r="D130" s="36" t="s">
        <v>23</v>
      </c>
      <c r="E130" s="9" t="s">
        <v>146</v>
      </c>
      <c r="F130" s="9">
        <v>3</v>
      </c>
      <c r="G130" s="9">
        <v>10</v>
      </c>
      <c r="H130" s="9">
        <v>300</v>
      </c>
      <c r="I130" s="145">
        <f t="shared" si="41"/>
        <v>9000</v>
      </c>
      <c r="J130" s="141"/>
      <c r="K130" s="26"/>
      <c r="L130" s="31" t="s">
        <v>25</v>
      </c>
      <c r="M130" s="40" t="str">
        <f t="shared" ref="M130:M138" si="45">IF(AND($J130&gt;0,$K130&gt;0,$L130&gt;0),$I130/3,IF(AND($J130&gt;0,$K130&gt;0),$I130/2,IF(AND(J130="",OR($K130&gt;0,$L130&gt;0)),"",$I130)))</f>
        <v/>
      </c>
      <c r="N130" s="26" t="str">
        <f t="shared" ref="N130:N138" si="46">IF(AND($J130&gt;0,$K130&gt;0,$L130&gt;0),$I130/3,IF(AND($J130&gt;0,$K130&gt;0),$I130/2,IF(AND($J130="",$K130&gt;0),$I130,"")))</f>
        <v/>
      </c>
      <c r="O130" s="41">
        <f t="shared" si="44"/>
        <v>9000</v>
      </c>
      <c r="P130" s="36">
        <f t="shared" si="36"/>
        <v>9000</v>
      </c>
    </row>
    <row r="131" spans="1:16" s="6" customFormat="1" ht="34.049999999999997" customHeight="1">
      <c r="A131" s="110"/>
      <c r="B131" s="432"/>
      <c r="C131" s="123" t="s">
        <v>149</v>
      </c>
      <c r="D131" s="36" t="s">
        <v>23</v>
      </c>
      <c r="E131" s="9" t="s">
        <v>100</v>
      </c>
      <c r="F131" s="9">
        <v>1</v>
      </c>
      <c r="G131" s="9">
        <v>10</v>
      </c>
      <c r="H131" s="9">
        <v>300</v>
      </c>
      <c r="I131" s="145">
        <f t="shared" si="41"/>
        <v>3000</v>
      </c>
      <c r="J131" s="141"/>
      <c r="K131" s="26"/>
      <c r="L131" s="31" t="s">
        <v>25</v>
      </c>
      <c r="M131" s="40" t="str">
        <f t="shared" si="45"/>
        <v/>
      </c>
      <c r="N131" s="26" t="str">
        <f t="shared" si="46"/>
        <v/>
      </c>
      <c r="O131" s="41">
        <f t="shared" si="44"/>
        <v>3000</v>
      </c>
      <c r="P131" s="36">
        <f t="shared" si="36"/>
        <v>3000</v>
      </c>
    </row>
    <row r="132" spans="1:16" s="6" customFormat="1" ht="31.05" customHeight="1">
      <c r="A132" s="110"/>
      <c r="B132" s="432"/>
      <c r="C132" s="419" t="s">
        <v>150</v>
      </c>
      <c r="D132" s="36" t="s">
        <v>23</v>
      </c>
      <c r="E132" s="9" t="s">
        <v>140</v>
      </c>
      <c r="F132" s="9">
        <v>2</v>
      </c>
      <c r="G132" s="9">
        <v>5</v>
      </c>
      <c r="H132" s="9">
        <v>400</v>
      </c>
      <c r="I132" s="145">
        <f t="shared" si="41"/>
        <v>4000</v>
      </c>
      <c r="J132" s="141"/>
      <c r="K132" s="26"/>
      <c r="L132" s="31" t="s">
        <v>25</v>
      </c>
      <c r="M132" s="40" t="str">
        <f t="shared" si="45"/>
        <v/>
      </c>
      <c r="N132" s="26" t="str">
        <f t="shared" si="46"/>
        <v/>
      </c>
      <c r="O132" s="41">
        <f t="shared" si="44"/>
        <v>4000</v>
      </c>
      <c r="P132" s="36">
        <f t="shared" si="36"/>
        <v>4000</v>
      </c>
    </row>
    <row r="133" spans="1:16" s="6" customFormat="1" ht="16.05" customHeight="1">
      <c r="A133" s="110"/>
      <c r="B133" s="432"/>
      <c r="C133" s="418"/>
      <c r="D133" s="36" t="s">
        <v>31</v>
      </c>
      <c r="E133" s="9" t="s">
        <v>32</v>
      </c>
      <c r="F133" s="9">
        <v>20</v>
      </c>
      <c r="G133" s="9">
        <v>5</v>
      </c>
      <c r="H133" s="9">
        <v>50</v>
      </c>
      <c r="I133" s="145">
        <f t="shared" si="41"/>
        <v>5000</v>
      </c>
      <c r="J133" s="141"/>
      <c r="K133" s="26"/>
      <c r="L133" s="31" t="s">
        <v>25</v>
      </c>
      <c r="M133" s="40" t="str">
        <f t="shared" si="45"/>
        <v/>
      </c>
      <c r="N133" s="26" t="str">
        <f t="shared" si="46"/>
        <v/>
      </c>
      <c r="O133" s="41">
        <f t="shared" si="44"/>
        <v>5000</v>
      </c>
      <c r="P133" s="36">
        <f t="shared" si="36"/>
        <v>5000</v>
      </c>
    </row>
    <row r="134" spans="1:16" s="6" customFormat="1" ht="16.05" customHeight="1">
      <c r="A134" s="110"/>
      <c r="B134" s="432"/>
      <c r="C134" s="419" t="s">
        <v>151</v>
      </c>
      <c r="D134" s="36" t="s">
        <v>23</v>
      </c>
      <c r="E134" s="9" t="s">
        <v>132</v>
      </c>
      <c r="F134" s="9">
        <v>3</v>
      </c>
      <c r="G134" s="9">
        <v>10</v>
      </c>
      <c r="H134" s="9">
        <v>400</v>
      </c>
      <c r="I134" s="145">
        <f t="shared" si="41"/>
        <v>12000</v>
      </c>
      <c r="J134" s="141"/>
      <c r="K134" s="26"/>
      <c r="L134" s="31" t="s">
        <v>25</v>
      </c>
      <c r="M134" s="40" t="str">
        <f t="shared" si="45"/>
        <v/>
      </c>
      <c r="N134" s="26" t="str">
        <f t="shared" si="46"/>
        <v/>
      </c>
      <c r="O134" s="41">
        <f t="shared" si="44"/>
        <v>12000</v>
      </c>
      <c r="P134" s="36">
        <f t="shared" ref="P134:P149" si="47">SUM(M134:O134)</f>
        <v>12000</v>
      </c>
    </row>
    <row r="135" spans="1:16" s="6" customFormat="1" ht="16.05" customHeight="1">
      <c r="A135" s="110"/>
      <c r="B135" s="432"/>
      <c r="C135" s="418"/>
      <c r="D135" s="36" t="s">
        <v>31</v>
      </c>
      <c r="E135" s="9" t="s">
        <v>32</v>
      </c>
      <c r="F135" s="9">
        <v>10</v>
      </c>
      <c r="G135" s="9">
        <v>10</v>
      </c>
      <c r="H135" s="9">
        <v>50</v>
      </c>
      <c r="I135" s="145">
        <f t="shared" si="41"/>
        <v>5000</v>
      </c>
      <c r="J135" s="141"/>
      <c r="K135" s="26"/>
      <c r="L135" s="31" t="s">
        <v>25</v>
      </c>
      <c r="M135" s="40" t="str">
        <f t="shared" si="45"/>
        <v/>
      </c>
      <c r="N135" s="26" t="str">
        <f t="shared" si="46"/>
        <v/>
      </c>
      <c r="O135" s="41">
        <f t="shared" si="44"/>
        <v>5000</v>
      </c>
      <c r="P135" s="36">
        <f t="shared" si="47"/>
        <v>5000</v>
      </c>
    </row>
    <row r="136" spans="1:16" s="6" customFormat="1" ht="16.95" customHeight="1">
      <c r="A136" s="110"/>
      <c r="B136" s="432"/>
      <c r="C136" s="123" t="s">
        <v>152</v>
      </c>
      <c r="D136" s="36" t="s">
        <v>23</v>
      </c>
      <c r="E136" s="9" t="s">
        <v>140</v>
      </c>
      <c r="F136" s="9">
        <v>2</v>
      </c>
      <c r="G136" s="9">
        <v>5</v>
      </c>
      <c r="H136" s="9">
        <v>400</v>
      </c>
      <c r="I136" s="145">
        <f t="shared" si="41"/>
        <v>4000</v>
      </c>
      <c r="J136" s="141"/>
      <c r="K136" s="26"/>
      <c r="L136" s="31" t="s">
        <v>25</v>
      </c>
      <c r="M136" s="40" t="str">
        <f t="shared" si="45"/>
        <v/>
      </c>
      <c r="N136" s="26" t="str">
        <f t="shared" si="46"/>
        <v/>
      </c>
      <c r="O136" s="41">
        <f t="shared" si="44"/>
        <v>4000</v>
      </c>
      <c r="P136" s="36">
        <f t="shared" si="47"/>
        <v>4000</v>
      </c>
    </row>
    <row r="137" spans="1:16" s="6" customFormat="1" ht="16.95" customHeight="1">
      <c r="A137" s="110"/>
      <c r="B137" s="432"/>
      <c r="C137" s="123" t="s">
        <v>153</v>
      </c>
      <c r="D137" s="36" t="s">
        <v>23</v>
      </c>
      <c r="E137" s="9" t="s">
        <v>100</v>
      </c>
      <c r="F137" s="9">
        <v>1</v>
      </c>
      <c r="G137" s="9">
        <v>10</v>
      </c>
      <c r="H137" s="9">
        <v>300</v>
      </c>
      <c r="I137" s="145">
        <f t="shared" si="41"/>
        <v>3000</v>
      </c>
      <c r="J137" s="141"/>
      <c r="K137" s="26"/>
      <c r="L137" s="31" t="s">
        <v>25</v>
      </c>
      <c r="M137" s="40" t="str">
        <f t="shared" si="45"/>
        <v/>
      </c>
      <c r="N137" s="26" t="str">
        <f t="shared" si="46"/>
        <v/>
      </c>
      <c r="O137" s="41">
        <f t="shared" si="44"/>
        <v>3000</v>
      </c>
      <c r="P137" s="36">
        <f t="shared" si="47"/>
        <v>3000</v>
      </c>
    </row>
    <row r="138" spans="1:16" s="6" customFormat="1" ht="18" customHeight="1" thickBot="1">
      <c r="A138" s="110"/>
      <c r="B138" s="432"/>
      <c r="C138" s="124" t="s">
        <v>154</v>
      </c>
      <c r="D138" s="36" t="s">
        <v>23</v>
      </c>
      <c r="E138" s="9" t="s">
        <v>132</v>
      </c>
      <c r="F138" s="9">
        <v>3</v>
      </c>
      <c r="G138" s="9">
        <f>4*4*2</f>
        <v>32</v>
      </c>
      <c r="H138" s="9">
        <v>300</v>
      </c>
      <c r="I138" s="145">
        <f t="shared" si="41"/>
        <v>28800</v>
      </c>
      <c r="J138" s="141"/>
      <c r="K138" s="26"/>
      <c r="L138" s="31" t="s">
        <v>25</v>
      </c>
      <c r="M138" s="93" t="str">
        <f t="shared" si="45"/>
        <v/>
      </c>
      <c r="N138" s="94" t="str">
        <f t="shared" si="46"/>
        <v/>
      </c>
      <c r="O138" s="95">
        <f t="shared" si="44"/>
        <v>28800</v>
      </c>
      <c r="P138" s="125">
        <f t="shared" si="47"/>
        <v>28800</v>
      </c>
    </row>
    <row r="139" spans="1:16" s="6" customFormat="1" ht="16.95" customHeight="1" thickBot="1">
      <c r="A139" s="110"/>
      <c r="B139" s="432"/>
      <c r="C139" s="139"/>
      <c r="D139" s="112"/>
      <c r="E139" s="42"/>
      <c r="F139" s="42"/>
      <c r="G139" s="42"/>
      <c r="H139" s="42"/>
      <c r="I139" s="43">
        <f>SUM(I121:I138)</f>
        <v>181000</v>
      </c>
      <c r="J139" s="468" t="s">
        <v>38</v>
      </c>
      <c r="K139" s="423"/>
      <c r="L139" s="424"/>
      <c r="M139" s="97">
        <f>SUM(M121:M138)</f>
        <v>0</v>
      </c>
      <c r="N139" s="98">
        <f>SUM(N121:N138)</f>
        <v>0</v>
      </c>
      <c r="O139" s="100">
        <f>SUM(O121:O138)</f>
        <v>181000</v>
      </c>
      <c r="P139" s="101">
        <f t="shared" si="47"/>
        <v>181000</v>
      </c>
    </row>
    <row r="140" spans="1:16" ht="34.049999999999997" customHeight="1">
      <c r="A140" s="440" t="s">
        <v>155</v>
      </c>
      <c r="B140" s="439" t="s">
        <v>156</v>
      </c>
      <c r="C140" s="126" t="s">
        <v>157</v>
      </c>
      <c r="D140" s="142" t="s">
        <v>23</v>
      </c>
      <c r="E140" s="72" t="s">
        <v>109</v>
      </c>
      <c r="F140" s="72">
        <v>2</v>
      </c>
      <c r="G140" s="72">
        <f>4*3</f>
        <v>12</v>
      </c>
      <c r="H140" s="72">
        <v>300</v>
      </c>
      <c r="I140" s="143">
        <f t="shared" ref="I140:I147" si="48">F140*G140*H140</f>
        <v>7200</v>
      </c>
      <c r="J140" s="153"/>
      <c r="K140" s="34"/>
      <c r="L140" s="44" t="s">
        <v>25</v>
      </c>
      <c r="M140" s="37" t="str">
        <f>IF(AND($J140&gt;0,$K140&gt;0,$L140&gt;0),$I140/3,IF(AND($J140&gt;0,$K140&gt;0),$I140/2,IF(AND(J140="",OR($K140&gt;0,$L140&gt;0)),"",$I140)))</f>
        <v/>
      </c>
      <c r="N140" s="38" t="str">
        <f>IF(AND($J140&gt;0,$K140&gt;0,$L140&gt;0),$I140/3,IF(AND($J140&gt;0,$K140&gt;0),$I140/2,IF(AND($J140="",$K140&gt;0),$I140,"")))</f>
        <v/>
      </c>
      <c r="O140" s="39">
        <f t="shared" ref="O140:O147" si="49">IF(AND($J140&gt;0,$K140&gt;0,$L140&gt;0),$I140/3,IF(AND(J140="",$K140&gt;0,$L140&gt;0),$I140/2,IF(AND($J140="",$K140="",L140&gt;0),$I140,"")))</f>
        <v>7200</v>
      </c>
      <c r="P140" s="74">
        <f t="shared" si="47"/>
        <v>7200</v>
      </c>
    </row>
    <row r="141" spans="1:16" s="6" customFormat="1" ht="34.049999999999997" customHeight="1">
      <c r="A141" s="416"/>
      <c r="B141" s="432"/>
      <c r="C141" s="123" t="s">
        <v>158</v>
      </c>
      <c r="D141" s="144" t="s">
        <v>23</v>
      </c>
      <c r="E141" s="9" t="s">
        <v>159</v>
      </c>
      <c r="F141" s="9">
        <v>4</v>
      </c>
      <c r="G141" s="9">
        <v>5</v>
      </c>
      <c r="H141" s="9">
        <v>300</v>
      </c>
      <c r="I141" s="145">
        <f t="shared" si="48"/>
        <v>6000</v>
      </c>
      <c r="J141" s="153"/>
      <c r="K141" s="34"/>
      <c r="L141" s="44" t="s">
        <v>25</v>
      </c>
      <c r="M141" s="40" t="str">
        <f>IF(AND($J141&gt;0,$K141&gt;0,$L141&gt;0),$I141/3,IF(AND($J141&gt;0,$K141&gt;0),$I141/2,IF(AND(J141="",OR($K141&gt;0,$L141&gt;0)),"",$I141)))</f>
        <v/>
      </c>
      <c r="N141" s="26" t="str">
        <f>IF(AND($J141&gt;0,$K141&gt;0,$L141&gt;0),$I141/3,IF(AND($J141&gt;0,$K141&gt;0),$I141/2,IF(AND($J141="",$K141&gt;0),$I141,"")))</f>
        <v/>
      </c>
      <c r="O141" s="41">
        <f t="shared" si="49"/>
        <v>6000</v>
      </c>
      <c r="P141" s="57">
        <f t="shared" si="47"/>
        <v>6000</v>
      </c>
    </row>
    <row r="142" spans="1:16" s="6" customFormat="1" ht="16.95" customHeight="1">
      <c r="A142" s="416"/>
      <c r="B142" s="432"/>
      <c r="C142" s="419" t="s">
        <v>160</v>
      </c>
      <c r="D142" s="120" t="s">
        <v>23</v>
      </c>
      <c r="E142" s="9" t="s">
        <v>159</v>
      </c>
      <c r="F142" s="9">
        <v>4</v>
      </c>
      <c r="G142" s="9">
        <v>5</v>
      </c>
      <c r="H142" s="9">
        <v>300</v>
      </c>
      <c r="I142" s="145">
        <f t="shared" si="48"/>
        <v>6000</v>
      </c>
      <c r="J142" s="153"/>
      <c r="K142" s="34"/>
      <c r="L142" s="44" t="s">
        <v>25</v>
      </c>
      <c r="M142" s="40" t="str">
        <f>IF(AND($J142&gt;0,$K142&gt;0,$L142&gt;0),$I142/3,IF(AND($J142&gt;0,$K142&gt;0),$I142/2,IF(AND(J142="",OR($K142&gt;0,$L142&gt;0)),"",$I142)))</f>
        <v/>
      </c>
      <c r="N142" s="26" t="str">
        <f>IF(AND($J142&gt;0,$K142&gt;0,$L142&gt;0),$I142/3,IF(AND($J142&gt;0,$K142&gt;0),$I142/2,IF(AND($J142="",$K142&gt;0),$I142,"")))</f>
        <v/>
      </c>
      <c r="O142" s="41">
        <f t="shared" si="49"/>
        <v>6000</v>
      </c>
      <c r="P142" s="57">
        <f t="shared" si="47"/>
        <v>6000</v>
      </c>
    </row>
    <row r="143" spans="1:16" s="6" customFormat="1" ht="16.05" customHeight="1">
      <c r="A143" s="416"/>
      <c r="B143" s="432"/>
      <c r="C143" s="418"/>
      <c r="D143" s="144" t="s">
        <v>31</v>
      </c>
      <c r="E143" s="9" t="s">
        <v>32</v>
      </c>
      <c r="F143" s="9">
        <f>F144+F145+24</f>
        <v>60</v>
      </c>
      <c r="G143" s="9">
        <v>5</v>
      </c>
      <c r="H143" s="9">
        <v>50</v>
      </c>
      <c r="I143" s="145">
        <f t="shared" si="48"/>
        <v>15000</v>
      </c>
      <c r="J143" s="153"/>
      <c r="K143" s="34"/>
      <c r="L143" s="44" t="s">
        <v>25</v>
      </c>
      <c r="M143" s="40" t="str">
        <f>IF(AND($J143&gt;0,$K143&gt;0,$L143&gt;0),$I143/3,IF(AND($J143&gt;0,$K143&gt;0),$I143/2,IF(AND(J143="",OR($K143&gt;0,$L143&gt;0)),"",$I143)))</f>
        <v/>
      </c>
      <c r="N143" s="26" t="str">
        <f>IF(AND($J143&gt;0,$K143&gt;0,$L143&gt;0),$I143/3,IF(AND($J143&gt;0,$K143&gt;0),$I143/2,IF(AND($J143="",$K143&gt;0),$I143,"")))</f>
        <v/>
      </c>
      <c r="O143" s="41">
        <f t="shared" si="49"/>
        <v>15000</v>
      </c>
      <c r="P143" s="57">
        <f t="shared" si="47"/>
        <v>15000</v>
      </c>
    </row>
    <row r="144" spans="1:16" s="6" customFormat="1" ht="16.05" customHeight="1">
      <c r="A144" s="416"/>
      <c r="B144" s="432"/>
      <c r="C144" s="116"/>
      <c r="D144" s="144" t="s">
        <v>115</v>
      </c>
      <c r="E144" s="9" t="s">
        <v>116</v>
      </c>
      <c r="F144" s="9">
        <f>3*3</f>
        <v>9</v>
      </c>
      <c r="G144" s="9">
        <v>5</v>
      </c>
      <c r="H144" s="9">
        <v>110</v>
      </c>
      <c r="I144" s="145">
        <f t="shared" si="48"/>
        <v>4950</v>
      </c>
      <c r="J144" s="153"/>
      <c r="K144" s="34"/>
      <c r="L144" s="44" t="s">
        <v>25</v>
      </c>
      <c r="M144" s="40"/>
      <c r="N144" s="26"/>
      <c r="O144" s="41">
        <f t="shared" si="49"/>
        <v>4950</v>
      </c>
      <c r="P144" s="57">
        <f t="shared" si="47"/>
        <v>4950</v>
      </c>
    </row>
    <row r="145" spans="1:18" s="6" customFormat="1" ht="16.05" customHeight="1">
      <c r="A145" s="416"/>
      <c r="B145" s="432"/>
      <c r="C145" s="116"/>
      <c r="D145" s="144" t="s">
        <v>115</v>
      </c>
      <c r="E145" s="9" t="s">
        <v>117</v>
      </c>
      <c r="F145" s="9">
        <f>3*9</f>
        <v>27</v>
      </c>
      <c r="G145" s="9">
        <v>5</v>
      </c>
      <c r="H145" s="9">
        <v>80</v>
      </c>
      <c r="I145" s="145">
        <f t="shared" si="48"/>
        <v>10800</v>
      </c>
      <c r="J145" s="153"/>
      <c r="K145" s="34"/>
      <c r="L145" s="44" t="s">
        <v>25</v>
      </c>
      <c r="M145" s="40"/>
      <c r="N145" s="26"/>
      <c r="O145" s="41">
        <f t="shared" si="49"/>
        <v>10800</v>
      </c>
      <c r="P145" s="57">
        <f t="shared" si="47"/>
        <v>10800</v>
      </c>
    </row>
    <row r="146" spans="1:18" s="6" customFormat="1" ht="34.049999999999997" customHeight="1">
      <c r="A146" s="416"/>
      <c r="B146" s="432"/>
      <c r="C146" s="123" t="s">
        <v>161</v>
      </c>
      <c r="D146" s="144" t="s">
        <v>23</v>
      </c>
      <c r="E146" s="9" t="s">
        <v>27</v>
      </c>
      <c r="F146" s="9">
        <v>2</v>
      </c>
      <c r="G146" s="9">
        <f>4*4*2</f>
        <v>32</v>
      </c>
      <c r="H146" s="9">
        <v>300</v>
      </c>
      <c r="I146" s="145">
        <f t="shared" si="48"/>
        <v>19200</v>
      </c>
      <c r="J146" s="153"/>
      <c r="K146" s="34"/>
      <c r="L146" s="44" t="s">
        <v>25</v>
      </c>
      <c r="M146" s="40" t="str">
        <f>IF(AND($J146&gt;0,$K146&gt;0,$L146&gt;0),$I146/3,IF(AND($J146&gt;0,$K146&gt;0),$I146/2,IF(AND(J146="",OR($K146&gt;0,$L146&gt;0)),"",$I146)))</f>
        <v/>
      </c>
      <c r="N146" s="26" t="str">
        <f>IF(AND($J146&gt;0,$K146&gt;0,$L146&gt;0),$I146/3,IF(AND($J146&gt;0,$K146&gt;0),$I146/2,IF(AND($J146="",$K146&gt;0),$I146,"")))</f>
        <v/>
      </c>
      <c r="O146" s="41">
        <f t="shared" si="49"/>
        <v>19200</v>
      </c>
      <c r="P146" s="57">
        <f t="shared" si="47"/>
        <v>19200</v>
      </c>
    </row>
    <row r="147" spans="1:18" ht="18" customHeight="1" thickBot="1">
      <c r="A147" s="416"/>
      <c r="B147" s="432"/>
      <c r="C147" s="124" t="s">
        <v>162</v>
      </c>
      <c r="D147" s="146" t="s">
        <v>23</v>
      </c>
      <c r="E147" s="58" t="s">
        <v>144</v>
      </c>
      <c r="F147" s="58">
        <v>4</v>
      </c>
      <c r="G147" s="58">
        <f>4*3</f>
        <v>12</v>
      </c>
      <c r="H147" s="58">
        <v>100</v>
      </c>
      <c r="I147" s="147">
        <f t="shared" si="48"/>
        <v>4800</v>
      </c>
      <c r="J147" s="153"/>
      <c r="K147" s="18"/>
      <c r="L147" s="44" t="s">
        <v>25</v>
      </c>
      <c r="M147" s="61" t="str">
        <f>IF(AND($J147&gt;0,$K147&gt;0,$L147&gt;0),$I147/3,IF(AND($J147&gt;0,$K147&gt;0),$I147/2,IF(AND(J147="",OR($K147&gt;0,$L147&gt;0)),"",$I147)))</f>
        <v/>
      </c>
      <c r="N147" s="59" t="str">
        <f>IF(AND($J147&gt;0,$K147&gt;0,$L147&gt;0),$I147/3,IF(AND($J147&gt;0,$K147&gt;0),$I147/2,IF(AND($J147="",$K147&gt;0),$I147,"")))</f>
        <v/>
      </c>
      <c r="O147" s="62">
        <f t="shared" si="49"/>
        <v>4800</v>
      </c>
      <c r="P147" s="63">
        <f t="shared" si="47"/>
        <v>4800</v>
      </c>
    </row>
    <row r="148" spans="1:18" ht="16.95" customHeight="1" thickBot="1">
      <c r="A148" s="441"/>
      <c r="B148" s="427"/>
      <c r="C148" s="176"/>
      <c r="D148" s="154"/>
      <c r="E148" s="154"/>
      <c r="F148" s="154"/>
      <c r="G148" s="154"/>
      <c r="H148" s="154"/>
      <c r="I148" s="154">
        <f>SUM(I140:I147)</f>
        <v>73950</v>
      </c>
      <c r="J148" s="470" t="s">
        <v>38</v>
      </c>
      <c r="K148" s="471"/>
      <c r="L148" s="472"/>
      <c r="M148" s="97">
        <f>SUM(M140:M147)</f>
        <v>0</v>
      </c>
      <c r="N148" s="98">
        <f>SUM(N140:N147)</f>
        <v>0</v>
      </c>
      <c r="O148" s="100">
        <f>SUM(O140:O147)</f>
        <v>73950</v>
      </c>
      <c r="P148" s="101">
        <f t="shared" si="47"/>
        <v>73950</v>
      </c>
    </row>
    <row r="149" spans="1:18" s="6" customFormat="1" ht="17.25" customHeight="1" thickBot="1">
      <c r="A149" s="422" t="s">
        <v>104</v>
      </c>
      <c r="B149" s="423"/>
      <c r="C149" s="423"/>
      <c r="D149" s="423"/>
      <c r="E149" s="423"/>
      <c r="F149" s="423"/>
      <c r="G149" s="423"/>
      <c r="H149" s="423"/>
      <c r="I149" s="423"/>
      <c r="J149" s="423"/>
      <c r="K149" s="423"/>
      <c r="L149" s="424"/>
      <c r="M149" s="155">
        <f>M86+M103+M139+M148+M120</f>
        <v>86000</v>
      </c>
      <c r="N149" s="154">
        <f>N86+N103+N139+N148+N120</f>
        <v>230350</v>
      </c>
      <c r="O149" s="156">
        <f>O86+O103+O139+O148+O120</f>
        <v>441650</v>
      </c>
      <c r="P149" s="157">
        <f t="shared" si="47"/>
        <v>758000</v>
      </c>
      <c r="R149" s="1"/>
    </row>
    <row r="150" spans="1:18" s="6" customFormat="1" ht="16.95" customHeight="1" thickBot="1">
      <c r="A150" s="474" t="s">
        <v>163</v>
      </c>
      <c r="B150" s="423"/>
      <c r="C150" s="423"/>
      <c r="D150" s="423"/>
      <c r="E150" s="423"/>
      <c r="F150" s="423"/>
      <c r="G150" s="423"/>
      <c r="H150" s="423"/>
      <c r="I150" s="423"/>
      <c r="J150" s="423"/>
      <c r="K150" s="423"/>
      <c r="L150" s="423"/>
      <c r="M150" s="423"/>
      <c r="N150" s="423"/>
      <c r="O150" s="423"/>
      <c r="P150" s="424"/>
    </row>
    <row r="151" spans="1:18" ht="31.05" customHeight="1">
      <c r="A151" s="434" t="s">
        <v>164</v>
      </c>
      <c r="B151" s="435" t="s">
        <v>165</v>
      </c>
      <c r="C151" s="420" t="s">
        <v>166</v>
      </c>
      <c r="D151" s="121" t="s">
        <v>23</v>
      </c>
      <c r="E151" s="72" t="s">
        <v>27</v>
      </c>
      <c r="F151" s="72">
        <v>2</v>
      </c>
      <c r="G151" s="72">
        <v>5</v>
      </c>
      <c r="H151" s="72">
        <v>400</v>
      </c>
      <c r="I151" s="79">
        <f t="shared" ref="I151:I164" si="50">F151*G151*H151</f>
        <v>4000</v>
      </c>
      <c r="J151" s="166" t="s">
        <v>25</v>
      </c>
      <c r="K151" s="159"/>
      <c r="L151" s="167"/>
      <c r="M151" s="37">
        <f t="shared" ref="M151:M164" si="51">IF(AND($J151&gt;0,$K151&gt;0,$L151&gt;0),$I151/3,IF(AND($J151&gt;0,$K151&gt;0),$I151/2,IF(AND(J151="",OR($K151&gt;0,$L151&gt;0)),"",$I151)))</f>
        <v>4000</v>
      </c>
      <c r="N151" s="38" t="str">
        <f t="shared" ref="N151:N164" si="52">IF(AND($J151&gt;0,$K151&gt;0,$L151&gt;0),$I151/3,IF(AND($J151&gt;0,$K151&gt;0),$I151/2,IF(AND($J151="",$K151&gt;0),$I151,"")))</f>
        <v/>
      </c>
      <c r="O151" s="39" t="str">
        <f t="shared" ref="O151:O164" si="53">IF(AND($J151&gt;0,$K151&gt;0,$L151&gt;0),$I151/3,IF(AND(J151="",$K151&gt;0,$L151&gt;0),$I151/2,IF(AND($J151="",$K151="",L151&gt;0),$I151,"")))</f>
        <v/>
      </c>
      <c r="P151" s="74">
        <f t="shared" ref="P151:P195" si="54">SUM(M151:O151)</f>
        <v>4000</v>
      </c>
    </row>
    <row r="152" spans="1:18" ht="16.05" customHeight="1">
      <c r="A152" s="416"/>
      <c r="B152" s="436"/>
      <c r="C152" s="418"/>
      <c r="D152" s="36" t="s">
        <v>31</v>
      </c>
      <c r="E152" s="9" t="s">
        <v>32</v>
      </c>
      <c r="F152" s="9">
        <f>12+5+18</f>
        <v>35</v>
      </c>
      <c r="G152" s="9">
        <v>5</v>
      </c>
      <c r="H152" s="9">
        <v>50</v>
      </c>
      <c r="I152" s="29">
        <f t="shared" si="50"/>
        <v>8750</v>
      </c>
      <c r="J152" s="168" t="s">
        <v>25</v>
      </c>
      <c r="K152" s="34"/>
      <c r="L152" s="169"/>
      <c r="M152" s="40">
        <f t="shared" si="51"/>
        <v>8750</v>
      </c>
      <c r="N152" s="26" t="str">
        <f t="shared" si="52"/>
        <v/>
      </c>
      <c r="O152" s="41" t="str">
        <f t="shared" si="53"/>
        <v/>
      </c>
      <c r="P152" s="57">
        <f t="shared" si="54"/>
        <v>8750</v>
      </c>
    </row>
    <row r="153" spans="1:18" ht="16.95" customHeight="1">
      <c r="A153" s="416"/>
      <c r="B153" s="436"/>
      <c r="C153" s="117" t="s">
        <v>126</v>
      </c>
      <c r="D153" s="36" t="s">
        <v>23</v>
      </c>
      <c r="E153" s="9" t="s">
        <v>27</v>
      </c>
      <c r="F153" s="18">
        <v>4</v>
      </c>
      <c r="G153" s="18">
        <v>2</v>
      </c>
      <c r="H153" s="18">
        <v>400</v>
      </c>
      <c r="I153" s="45">
        <f t="shared" si="50"/>
        <v>3200</v>
      </c>
      <c r="J153" s="168" t="s">
        <v>25</v>
      </c>
      <c r="K153" s="35"/>
      <c r="L153" s="170"/>
      <c r="M153" s="40">
        <f t="shared" si="51"/>
        <v>3200</v>
      </c>
      <c r="N153" s="26" t="str">
        <f t="shared" si="52"/>
        <v/>
      </c>
      <c r="O153" s="41" t="str">
        <f t="shared" si="53"/>
        <v/>
      </c>
      <c r="P153" s="57">
        <f t="shared" si="54"/>
        <v>3200</v>
      </c>
    </row>
    <row r="154" spans="1:18" ht="16.05" customHeight="1">
      <c r="A154" s="416"/>
      <c r="B154" s="436"/>
      <c r="C154" s="116"/>
      <c r="D154" s="36" t="s">
        <v>31</v>
      </c>
      <c r="E154" s="9" t="s">
        <v>32</v>
      </c>
      <c r="F154" s="9">
        <v>20</v>
      </c>
      <c r="G154" s="9">
        <v>2</v>
      </c>
      <c r="H154" s="9">
        <v>50</v>
      </c>
      <c r="I154" s="29">
        <f t="shared" si="50"/>
        <v>2000</v>
      </c>
      <c r="J154" s="168" t="s">
        <v>25</v>
      </c>
      <c r="K154" s="35"/>
      <c r="L154" s="170"/>
      <c r="M154" s="40">
        <f t="shared" si="51"/>
        <v>2000</v>
      </c>
      <c r="N154" s="26" t="str">
        <f t="shared" si="52"/>
        <v/>
      </c>
      <c r="O154" s="41" t="str">
        <f t="shared" si="53"/>
        <v/>
      </c>
      <c r="P154" s="57">
        <f t="shared" si="54"/>
        <v>2000</v>
      </c>
    </row>
    <row r="155" spans="1:18" ht="16.95" customHeight="1">
      <c r="A155" s="416"/>
      <c r="B155" s="436"/>
      <c r="C155" s="123" t="s">
        <v>167</v>
      </c>
      <c r="D155" s="36" t="s">
        <v>23</v>
      </c>
      <c r="E155" s="9" t="s">
        <v>35</v>
      </c>
      <c r="F155" s="9">
        <v>3</v>
      </c>
      <c r="G155" s="9">
        <v>21</v>
      </c>
      <c r="H155" s="9">
        <v>400</v>
      </c>
      <c r="I155" s="29">
        <f t="shared" si="50"/>
        <v>25200</v>
      </c>
      <c r="J155" s="168" t="s">
        <v>25</v>
      </c>
      <c r="K155" s="35"/>
      <c r="L155" s="170"/>
      <c r="M155" s="40">
        <f t="shared" si="51"/>
        <v>25200</v>
      </c>
      <c r="N155" s="26" t="str">
        <f t="shared" si="52"/>
        <v/>
      </c>
      <c r="O155" s="41" t="str">
        <f t="shared" si="53"/>
        <v/>
      </c>
      <c r="P155" s="57">
        <f t="shared" si="54"/>
        <v>25200</v>
      </c>
    </row>
    <row r="156" spans="1:18" ht="16.05" customHeight="1">
      <c r="A156" s="416"/>
      <c r="B156" s="436"/>
      <c r="C156" s="419" t="s">
        <v>168</v>
      </c>
      <c r="D156" s="36" t="s">
        <v>23</v>
      </c>
      <c r="E156" s="9" t="s">
        <v>27</v>
      </c>
      <c r="F156" s="9">
        <v>2</v>
      </c>
      <c r="G156" s="9">
        <v>3</v>
      </c>
      <c r="H156" s="9">
        <v>300</v>
      </c>
      <c r="I156" s="29">
        <f t="shared" si="50"/>
        <v>1800</v>
      </c>
      <c r="J156" s="168" t="s">
        <v>25</v>
      </c>
      <c r="K156" s="35"/>
      <c r="L156" s="170"/>
      <c r="M156" s="40">
        <f t="shared" si="51"/>
        <v>1800</v>
      </c>
      <c r="N156" s="26" t="str">
        <f t="shared" si="52"/>
        <v/>
      </c>
      <c r="O156" s="41" t="str">
        <f t="shared" si="53"/>
        <v/>
      </c>
      <c r="P156" s="57">
        <f t="shared" si="54"/>
        <v>1800</v>
      </c>
    </row>
    <row r="157" spans="1:18" ht="16.05" customHeight="1">
      <c r="A157" s="416"/>
      <c r="B157" s="436"/>
      <c r="C157" s="418"/>
      <c r="D157" s="36" t="s">
        <v>31</v>
      </c>
      <c r="E157" s="9" t="s">
        <v>32</v>
      </c>
      <c r="F157" s="9">
        <f>12+5+18</f>
        <v>35</v>
      </c>
      <c r="G157" s="9">
        <v>3</v>
      </c>
      <c r="H157" s="9">
        <v>50</v>
      </c>
      <c r="I157" s="29">
        <f t="shared" si="50"/>
        <v>5250</v>
      </c>
      <c r="J157" s="168" t="s">
        <v>25</v>
      </c>
      <c r="K157" s="35"/>
      <c r="L157" s="170"/>
      <c r="M157" s="40">
        <f t="shared" si="51"/>
        <v>5250</v>
      </c>
      <c r="N157" s="26" t="str">
        <f t="shared" si="52"/>
        <v/>
      </c>
      <c r="O157" s="41" t="str">
        <f t="shared" si="53"/>
        <v/>
      </c>
      <c r="P157" s="57">
        <f t="shared" si="54"/>
        <v>5250</v>
      </c>
    </row>
    <row r="158" spans="1:18" ht="16.95" customHeight="1">
      <c r="A158" s="416"/>
      <c r="B158" s="436"/>
      <c r="C158" s="123" t="s">
        <v>169</v>
      </c>
      <c r="D158" s="36" t="s">
        <v>23</v>
      </c>
      <c r="E158" s="9" t="s">
        <v>100</v>
      </c>
      <c r="F158" s="9">
        <v>1</v>
      </c>
      <c r="G158" s="9">
        <v>10</v>
      </c>
      <c r="H158" s="9">
        <v>300</v>
      </c>
      <c r="I158" s="29">
        <f t="shared" si="50"/>
        <v>3000</v>
      </c>
      <c r="J158" s="168" t="s">
        <v>25</v>
      </c>
      <c r="K158" s="35"/>
      <c r="L158" s="170"/>
      <c r="M158" s="40">
        <f t="shared" si="51"/>
        <v>3000</v>
      </c>
      <c r="N158" s="26" t="str">
        <f t="shared" si="52"/>
        <v/>
      </c>
      <c r="O158" s="41" t="str">
        <f t="shared" si="53"/>
        <v/>
      </c>
      <c r="P158" s="57">
        <f t="shared" si="54"/>
        <v>3000</v>
      </c>
    </row>
    <row r="159" spans="1:18" ht="17.25" customHeight="1">
      <c r="A159" s="416"/>
      <c r="B159" s="436"/>
      <c r="C159" s="419" t="s">
        <v>170</v>
      </c>
      <c r="D159" s="36" t="s">
        <v>23</v>
      </c>
      <c r="E159" s="9" t="s">
        <v>27</v>
      </c>
      <c r="F159" s="9">
        <v>2</v>
      </c>
      <c r="G159" s="9">
        <v>2</v>
      </c>
      <c r="H159" s="9">
        <v>400</v>
      </c>
      <c r="I159" s="29">
        <f t="shared" si="50"/>
        <v>1600</v>
      </c>
      <c r="J159" s="168" t="s">
        <v>25</v>
      </c>
      <c r="K159" s="35"/>
      <c r="L159" s="170"/>
      <c r="M159" s="40">
        <f t="shared" si="51"/>
        <v>1600</v>
      </c>
      <c r="N159" s="26" t="str">
        <f t="shared" si="52"/>
        <v/>
      </c>
      <c r="O159" s="41" t="str">
        <f t="shared" si="53"/>
        <v/>
      </c>
      <c r="P159" s="57">
        <f t="shared" si="54"/>
        <v>1600</v>
      </c>
    </row>
    <row r="160" spans="1:18" ht="16.05" customHeight="1">
      <c r="A160" s="416"/>
      <c r="B160" s="436"/>
      <c r="C160" s="418"/>
      <c r="D160" s="36" t="s">
        <v>31</v>
      </c>
      <c r="E160" s="9" t="s">
        <v>32</v>
      </c>
      <c r="F160" s="9">
        <v>20</v>
      </c>
      <c r="G160" s="9">
        <v>2</v>
      </c>
      <c r="H160" s="9">
        <v>50</v>
      </c>
      <c r="I160" s="29">
        <f t="shared" si="50"/>
        <v>2000</v>
      </c>
      <c r="J160" s="168" t="s">
        <v>25</v>
      </c>
      <c r="K160" s="35"/>
      <c r="L160" s="170"/>
      <c r="M160" s="40">
        <f t="shared" si="51"/>
        <v>2000</v>
      </c>
      <c r="N160" s="26" t="str">
        <f t="shared" si="52"/>
        <v/>
      </c>
      <c r="O160" s="41" t="str">
        <f t="shared" si="53"/>
        <v/>
      </c>
      <c r="P160" s="57">
        <f t="shared" si="54"/>
        <v>2000</v>
      </c>
    </row>
    <row r="161" spans="1:16" ht="16.95" customHeight="1">
      <c r="A161" s="416"/>
      <c r="B161" s="436"/>
      <c r="C161" s="123" t="s">
        <v>171</v>
      </c>
      <c r="D161" s="36" t="s">
        <v>23</v>
      </c>
      <c r="E161" s="9" t="s">
        <v>72</v>
      </c>
      <c r="F161" s="9">
        <v>1</v>
      </c>
      <c r="G161" s="9">
        <v>10</v>
      </c>
      <c r="H161" s="9">
        <v>400</v>
      </c>
      <c r="I161" s="29">
        <f t="shared" si="50"/>
        <v>4000</v>
      </c>
      <c r="J161" s="168" t="s">
        <v>25</v>
      </c>
      <c r="K161" s="35"/>
      <c r="L161" s="170"/>
      <c r="M161" s="40">
        <f t="shared" si="51"/>
        <v>4000</v>
      </c>
      <c r="N161" s="26" t="str">
        <f t="shared" si="52"/>
        <v/>
      </c>
      <c r="O161" s="41" t="str">
        <f t="shared" si="53"/>
        <v/>
      </c>
      <c r="P161" s="57">
        <f t="shared" si="54"/>
        <v>4000</v>
      </c>
    </row>
    <row r="162" spans="1:16" ht="16.95" customHeight="1">
      <c r="A162" s="416"/>
      <c r="B162" s="436"/>
      <c r="C162" s="123" t="s">
        <v>172</v>
      </c>
      <c r="D162" s="36" t="s">
        <v>23</v>
      </c>
      <c r="E162" s="9" t="s">
        <v>100</v>
      </c>
      <c r="F162" s="9">
        <v>1</v>
      </c>
      <c r="G162" s="9">
        <v>10</v>
      </c>
      <c r="H162" s="9">
        <v>300</v>
      </c>
      <c r="I162" s="29">
        <f t="shared" si="50"/>
        <v>3000</v>
      </c>
      <c r="J162" s="168" t="s">
        <v>25</v>
      </c>
      <c r="K162" s="35"/>
      <c r="L162" s="170"/>
      <c r="M162" s="40">
        <f t="shared" si="51"/>
        <v>3000</v>
      </c>
      <c r="N162" s="26" t="str">
        <f t="shared" si="52"/>
        <v/>
      </c>
      <c r="O162" s="41" t="str">
        <f t="shared" si="53"/>
        <v/>
      </c>
      <c r="P162" s="57">
        <f t="shared" si="54"/>
        <v>3000</v>
      </c>
    </row>
    <row r="163" spans="1:16" ht="16.95" customHeight="1">
      <c r="A163" s="416"/>
      <c r="B163" s="436"/>
      <c r="C163" s="123" t="s">
        <v>173</v>
      </c>
      <c r="D163" s="36" t="s">
        <v>23</v>
      </c>
      <c r="E163" s="9" t="s">
        <v>72</v>
      </c>
      <c r="F163" s="9">
        <v>2</v>
      </c>
      <c r="G163" s="9">
        <f>4*4*2</f>
        <v>32</v>
      </c>
      <c r="H163" s="9">
        <v>300</v>
      </c>
      <c r="I163" s="29">
        <f t="shared" si="50"/>
        <v>19200</v>
      </c>
      <c r="J163" s="168" t="s">
        <v>25</v>
      </c>
      <c r="K163" s="35"/>
      <c r="L163" s="170"/>
      <c r="M163" s="40">
        <f t="shared" si="51"/>
        <v>19200</v>
      </c>
      <c r="N163" s="26" t="str">
        <f t="shared" si="52"/>
        <v/>
      </c>
      <c r="O163" s="41" t="str">
        <f t="shared" si="53"/>
        <v/>
      </c>
      <c r="P163" s="57">
        <f t="shared" si="54"/>
        <v>19200</v>
      </c>
    </row>
    <row r="164" spans="1:16" ht="18" customHeight="1" thickBot="1">
      <c r="A164" s="416"/>
      <c r="B164" s="436"/>
      <c r="C164" s="134" t="s">
        <v>174</v>
      </c>
      <c r="D164" s="125" t="s">
        <v>23</v>
      </c>
      <c r="E164" s="91" t="s">
        <v>27</v>
      </c>
      <c r="F164" s="91">
        <v>2</v>
      </c>
      <c r="G164" s="91">
        <v>14</v>
      </c>
      <c r="H164" s="91">
        <v>400</v>
      </c>
      <c r="I164" s="92">
        <f t="shared" si="50"/>
        <v>11200</v>
      </c>
      <c r="J164" s="171" t="s">
        <v>25</v>
      </c>
      <c r="K164" s="161"/>
      <c r="L164" s="172"/>
      <c r="M164" s="93">
        <f t="shared" si="51"/>
        <v>11200</v>
      </c>
      <c r="N164" s="94" t="str">
        <f t="shared" si="52"/>
        <v/>
      </c>
      <c r="O164" s="95" t="str">
        <f t="shared" si="53"/>
        <v/>
      </c>
      <c r="P164" s="96">
        <f t="shared" si="54"/>
        <v>11200</v>
      </c>
    </row>
    <row r="165" spans="1:16" ht="16.95" customHeight="1" thickBot="1">
      <c r="A165" s="111"/>
      <c r="B165" s="182"/>
      <c r="C165" s="139"/>
      <c r="D165" s="109"/>
      <c r="E165" s="98"/>
      <c r="F165" s="98"/>
      <c r="G165" s="98"/>
      <c r="H165" s="98"/>
      <c r="I165" s="99">
        <f>SUM(I151:I164)</f>
        <v>94200</v>
      </c>
      <c r="J165" s="466" t="s">
        <v>38</v>
      </c>
      <c r="K165" s="423"/>
      <c r="L165" s="424"/>
      <c r="M165" s="97">
        <f>SUM(M151:M164)</f>
        <v>94200</v>
      </c>
      <c r="N165" s="98">
        <f>SUM(N151:N164)</f>
        <v>0</v>
      </c>
      <c r="O165" s="100">
        <f>SUM(O151:O164)</f>
        <v>0</v>
      </c>
      <c r="P165" s="101">
        <f t="shared" si="54"/>
        <v>94200</v>
      </c>
    </row>
    <row r="166" spans="1:16" ht="16.05" customHeight="1">
      <c r="A166" s="438" t="s">
        <v>175</v>
      </c>
      <c r="B166" s="437" t="s">
        <v>136</v>
      </c>
      <c r="C166" s="430" t="s">
        <v>176</v>
      </c>
      <c r="D166" s="142" t="s">
        <v>23</v>
      </c>
      <c r="E166" s="72" t="s">
        <v>72</v>
      </c>
      <c r="F166" s="72">
        <v>2</v>
      </c>
      <c r="G166" s="72">
        <v>5</v>
      </c>
      <c r="H166" s="72">
        <v>400</v>
      </c>
      <c r="I166" s="79">
        <f t="shared" ref="I166:I179" si="55">F166*G166*H166</f>
        <v>4000</v>
      </c>
      <c r="J166" s="166"/>
      <c r="K166" s="158" t="s">
        <v>25</v>
      </c>
      <c r="L166" s="173"/>
      <c r="M166" s="37" t="str">
        <f t="shared" ref="M166:M179" si="56">IF(AND($J166&gt;0,$K166&gt;0,$L166&gt;0),$I166/3,IF(AND($J166&gt;0,$K166&gt;0),$I166/2,IF(AND(J166="",OR($K166&gt;0,$L166&gt;0)),"",$I166)))</f>
        <v/>
      </c>
      <c r="N166" s="38">
        <f t="shared" ref="N166:N179" si="57">IF(AND($J166&gt;0,$K166&gt;0,$L166&gt;0),$I166/3,IF(AND($J166&gt;0,$K166&gt;0),$I166/2,IF(AND($J166="",$K166&gt;0),$I166,"")))</f>
        <v>4000</v>
      </c>
      <c r="O166" s="39" t="str">
        <f t="shared" ref="O166:O179" si="58">IF(AND($J166&gt;0,$K166&gt;0,$L166&gt;0),$I166/3,IF(AND(J166="",$K166&gt;0,$L166&gt;0),$I166/2,IF(AND($J166="",$K166="",L166&gt;0),$I166,"")))</f>
        <v/>
      </c>
      <c r="P166" s="74">
        <f t="shared" si="54"/>
        <v>4000</v>
      </c>
    </row>
    <row r="167" spans="1:16" ht="16.05" customHeight="1">
      <c r="A167" s="416"/>
      <c r="B167" s="436"/>
      <c r="C167" s="418"/>
      <c r="D167" s="144" t="s">
        <v>31</v>
      </c>
      <c r="E167" s="9" t="s">
        <v>32</v>
      </c>
      <c r="F167" s="9">
        <v>10</v>
      </c>
      <c r="G167" s="9">
        <v>5</v>
      </c>
      <c r="H167" s="9">
        <v>50</v>
      </c>
      <c r="I167" s="29">
        <f t="shared" si="55"/>
        <v>2500</v>
      </c>
      <c r="J167" s="168"/>
      <c r="K167" s="35" t="s">
        <v>25</v>
      </c>
      <c r="L167" s="170"/>
      <c r="M167" s="40" t="str">
        <f t="shared" si="56"/>
        <v/>
      </c>
      <c r="N167" s="26">
        <f t="shared" si="57"/>
        <v>2500</v>
      </c>
      <c r="O167" s="41" t="str">
        <f t="shared" si="58"/>
        <v/>
      </c>
      <c r="P167" s="57">
        <f t="shared" si="54"/>
        <v>2500</v>
      </c>
    </row>
    <row r="168" spans="1:16" ht="16.95" customHeight="1">
      <c r="A168" s="416"/>
      <c r="B168" s="436"/>
      <c r="C168" s="123" t="s">
        <v>177</v>
      </c>
      <c r="D168" s="144" t="s">
        <v>23</v>
      </c>
      <c r="E168" s="9" t="s">
        <v>72</v>
      </c>
      <c r="F168" s="9">
        <v>2</v>
      </c>
      <c r="G168" s="9">
        <v>5</v>
      </c>
      <c r="H168" s="9">
        <v>400</v>
      </c>
      <c r="I168" s="29">
        <f t="shared" si="55"/>
        <v>4000</v>
      </c>
      <c r="J168" s="168"/>
      <c r="K168" s="35" t="s">
        <v>25</v>
      </c>
      <c r="L168" s="170"/>
      <c r="M168" s="40" t="str">
        <f t="shared" si="56"/>
        <v/>
      </c>
      <c r="N168" s="26">
        <f t="shared" si="57"/>
        <v>4000</v>
      </c>
      <c r="O168" s="41" t="str">
        <f t="shared" si="58"/>
        <v/>
      </c>
      <c r="P168" s="57">
        <f t="shared" si="54"/>
        <v>4000</v>
      </c>
    </row>
    <row r="169" spans="1:16" ht="17.25" customHeight="1">
      <c r="A169" s="416"/>
      <c r="B169" s="436"/>
      <c r="C169" s="419" t="s">
        <v>178</v>
      </c>
      <c r="D169" s="144" t="s">
        <v>23</v>
      </c>
      <c r="E169" s="9" t="s">
        <v>35</v>
      </c>
      <c r="F169" s="9">
        <v>3</v>
      </c>
      <c r="G169" s="9">
        <v>21</v>
      </c>
      <c r="H169" s="9">
        <v>400</v>
      </c>
      <c r="I169" s="29">
        <f t="shared" si="55"/>
        <v>25200</v>
      </c>
      <c r="J169" s="168"/>
      <c r="K169" s="35" t="s">
        <v>25</v>
      </c>
      <c r="L169" s="170"/>
      <c r="M169" s="40" t="str">
        <f t="shared" si="56"/>
        <v/>
      </c>
      <c r="N169" s="26">
        <f t="shared" si="57"/>
        <v>25200</v>
      </c>
      <c r="O169" s="41" t="str">
        <f t="shared" si="58"/>
        <v/>
      </c>
      <c r="P169" s="57">
        <f t="shared" si="54"/>
        <v>25200</v>
      </c>
    </row>
    <row r="170" spans="1:16" ht="16.05" customHeight="1">
      <c r="A170" s="416"/>
      <c r="B170" s="436"/>
      <c r="C170" s="418"/>
      <c r="D170" s="144" t="s">
        <v>31</v>
      </c>
      <c r="E170" s="9" t="s">
        <v>32</v>
      </c>
      <c r="F170" s="9">
        <v>10</v>
      </c>
      <c r="G170" s="9">
        <v>10</v>
      </c>
      <c r="H170" s="9">
        <v>50</v>
      </c>
      <c r="I170" s="29">
        <f t="shared" si="55"/>
        <v>5000</v>
      </c>
      <c r="J170" s="168"/>
      <c r="K170" s="35" t="s">
        <v>25</v>
      </c>
      <c r="L170" s="170"/>
      <c r="M170" s="40" t="str">
        <f t="shared" si="56"/>
        <v/>
      </c>
      <c r="N170" s="26">
        <f t="shared" si="57"/>
        <v>5000</v>
      </c>
      <c r="O170" s="41" t="str">
        <f t="shared" si="58"/>
        <v/>
      </c>
      <c r="P170" s="57">
        <f t="shared" si="54"/>
        <v>5000</v>
      </c>
    </row>
    <row r="171" spans="1:16" ht="16.95" customHeight="1">
      <c r="A171" s="416"/>
      <c r="B171" s="436"/>
      <c r="C171" s="123" t="s">
        <v>179</v>
      </c>
      <c r="D171" s="144" t="s">
        <v>23</v>
      </c>
      <c r="E171" s="9" t="s">
        <v>35</v>
      </c>
      <c r="F171" s="9">
        <v>3</v>
      </c>
      <c r="G171" s="9">
        <v>14</v>
      </c>
      <c r="H171" s="9">
        <v>300</v>
      </c>
      <c r="I171" s="29">
        <f t="shared" si="55"/>
        <v>12600</v>
      </c>
      <c r="J171" s="168"/>
      <c r="K171" s="35" t="s">
        <v>25</v>
      </c>
      <c r="L171" s="170"/>
      <c r="M171" s="40" t="str">
        <f t="shared" si="56"/>
        <v/>
      </c>
      <c r="N171" s="26">
        <f t="shared" si="57"/>
        <v>12600</v>
      </c>
      <c r="O171" s="41" t="str">
        <f t="shared" si="58"/>
        <v/>
      </c>
      <c r="P171" s="57">
        <f t="shared" si="54"/>
        <v>12600</v>
      </c>
    </row>
    <row r="172" spans="1:16" ht="34.049999999999997" customHeight="1">
      <c r="A172" s="416"/>
      <c r="B172" s="436"/>
      <c r="C172" s="123" t="s">
        <v>180</v>
      </c>
      <c r="D172" s="144" t="s">
        <v>23</v>
      </c>
      <c r="E172" s="9" t="s">
        <v>100</v>
      </c>
      <c r="F172" s="9">
        <v>1</v>
      </c>
      <c r="G172" s="9">
        <v>10</v>
      </c>
      <c r="H172" s="9">
        <v>300</v>
      </c>
      <c r="I172" s="29">
        <f t="shared" si="55"/>
        <v>3000</v>
      </c>
      <c r="J172" s="168"/>
      <c r="K172" s="35" t="s">
        <v>25</v>
      </c>
      <c r="L172" s="170"/>
      <c r="M172" s="40" t="str">
        <f t="shared" si="56"/>
        <v/>
      </c>
      <c r="N172" s="26">
        <f t="shared" si="57"/>
        <v>3000</v>
      </c>
      <c r="O172" s="41" t="str">
        <f t="shared" si="58"/>
        <v/>
      </c>
      <c r="P172" s="57">
        <f t="shared" si="54"/>
        <v>3000</v>
      </c>
    </row>
    <row r="173" spans="1:16" ht="16.95" customHeight="1">
      <c r="A173" s="416"/>
      <c r="B173" s="436"/>
      <c r="C173" s="123" t="s">
        <v>181</v>
      </c>
      <c r="D173" s="144" t="s">
        <v>23</v>
      </c>
      <c r="E173" s="9" t="s">
        <v>35</v>
      </c>
      <c r="F173" s="9">
        <v>3</v>
      </c>
      <c r="G173" s="9">
        <v>5</v>
      </c>
      <c r="H173" s="9">
        <v>400</v>
      </c>
      <c r="I173" s="29">
        <f t="shared" si="55"/>
        <v>6000</v>
      </c>
      <c r="J173" s="168"/>
      <c r="K173" s="35" t="s">
        <v>25</v>
      </c>
      <c r="L173" s="170"/>
      <c r="M173" s="40" t="str">
        <f t="shared" si="56"/>
        <v/>
      </c>
      <c r="N173" s="26">
        <f t="shared" si="57"/>
        <v>6000</v>
      </c>
      <c r="O173" s="41" t="str">
        <f t="shared" si="58"/>
        <v/>
      </c>
      <c r="P173" s="57">
        <f t="shared" si="54"/>
        <v>6000</v>
      </c>
    </row>
    <row r="174" spans="1:16" ht="16.05" customHeight="1">
      <c r="A174" s="416"/>
      <c r="B174" s="436"/>
      <c r="C174" s="419" t="s">
        <v>182</v>
      </c>
      <c r="D174" s="144" t="s">
        <v>23</v>
      </c>
      <c r="E174" s="9" t="s">
        <v>35</v>
      </c>
      <c r="F174" s="9">
        <v>2</v>
      </c>
      <c r="G174" s="9">
        <v>5</v>
      </c>
      <c r="H174" s="9">
        <v>400</v>
      </c>
      <c r="I174" s="29">
        <f t="shared" si="55"/>
        <v>4000</v>
      </c>
      <c r="J174" s="168"/>
      <c r="K174" s="35" t="s">
        <v>25</v>
      </c>
      <c r="L174" s="170"/>
      <c r="M174" s="40" t="str">
        <f t="shared" si="56"/>
        <v/>
      </c>
      <c r="N174" s="26">
        <f t="shared" si="57"/>
        <v>4000</v>
      </c>
      <c r="O174" s="41" t="str">
        <f t="shared" si="58"/>
        <v/>
      </c>
      <c r="P174" s="57">
        <f t="shared" si="54"/>
        <v>4000</v>
      </c>
    </row>
    <row r="175" spans="1:16" ht="16.05" customHeight="1">
      <c r="A175" s="416"/>
      <c r="B175" s="436"/>
      <c r="C175" s="418"/>
      <c r="D175" s="144" t="s">
        <v>31</v>
      </c>
      <c r="E175" s="9" t="s">
        <v>32</v>
      </c>
      <c r="F175" s="9">
        <v>20</v>
      </c>
      <c r="G175" s="9">
        <v>5</v>
      </c>
      <c r="H175" s="9">
        <v>50</v>
      </c>
      <c r="I175" s="29">
        <f t="shared" si="55"/>
        <v>5000</v>
      </c>
      <c r="J175" s="168"/>
      <c r="K175" s="35" t="s">
        <v>25</v>
      </c>
      <c r="L175" s="170"/>
      <c r="M175" s="40" t="str">
        <f t="shared" si="56"/>
        <v/>
      </c>
      <c r="N175" s="26">
        <f t="shared" si="57"/>
        <v>5000</v>
      </c>
      <c r="O175" s="41" t="str">
        <f t="shared" si="58"/>
        <v/>
      </c>
      <c r="P175" s="57">
        <f t="shared" si="54"/>
        <v>5000</v>
      </c>
    </row>
    <row r="176" spans="1:16" ht="19.05" customHeight="1">
      <c r="A176" s="416"/>
      <c r="B176" s="436"/>
      <c r="C176" s="419" t="s">
        <v>183</v>
      </c>
      <c r="D176" s="144" t="s">
        <v>23</v>
      </c>
      <c r="E176" s="9" t="s">
        <v>35</v>
      </c>
      <c r="F176" s="9">
        <v>3</v>
      </c>
      <c r="G176" s="9">
        <v>5</v>
      </c>
      <c r="H176" s="9">
        <v>400</v>
      </c>
      <c r="I176" s="29">
        <f t="shared" si="55"/>
        <v>6000</v>
      </c>
      <c r="J176" s="168"/>
      <c r="K176" s="35" t="s">
        <v>25</v>
      </c>
      <c r="L176" s="170"/>
      <c r="M176" s="40" t="str">
        <f t="shared" si="56"/>
        <v/>
      </c>
      <c r="N176" s="26">
        <f t="shared" si="57"/>
        <v>6000</v>
      </c>
      <c r="O176" s="41" t="str">
        <f t="shared" si="58"/>
        <v/>
      </c>
      <c r="P176" s="57">
        <f t="shared" si="54"/>
        <v>6000</v>
      </c>
    </row>
    <row r="177" spans="1:16" ht="19.05" customHeight="1">
      <c r="A177" s="416"/>
      <c r="B177" s="436"/>
      <c r="C177" s="418"/>
      <c r="D177" s="144" t="s">
        <v>31</v>
      </c>
      <c r="E177" s="9" t="s">
        <v>32</v>
      </c>
      <c r="F177" s="9">
        <v>10</v>
      </c>
      <c r="G177" s="9">
        <v>5</v>
      </c>
      <c r="H177" s="9">
        <v>50</v>
      </c>
      <c r="I177" s="29">
        <f t="shared" si="55"/>
        <v>2500</v>
      </c>
      <c r="J177" s="168"/>
      <c r="K177" s="35" t="s">
        <v>25</v>
      </c>
      <c r="L177" s="170"/>
      <c r="M177" s="40" t="str">
        <f t="shared" si="56"/>
        <v/>
      </c>
      <c r="N177" s="26">
        <f t="shared" si="57"/>
        <v>2500</v>
      </c>
      <c r="O177" s="41" t="str">
        <f t="shared" si="58"/>
        <v/>
      </c>
      <c r="P177" s="57">
        <f t="shared" si="54"/>
        <v>2500</v>
      </c>
    </row>
    <row r="178" spans="1:16" ht="16.95" customHeight="1">
      <c r="A178" s="416"/>
      <c r="B178" s="436"/>
      <c r="C178" s="123" t="s">
        <v>184</v>
      </c>
      <c r="D178" s="144" t="s">
        <v>23</v>
      </c>
      <c r="E178" s="9" t="s">
        <v>35</v>
      </c>
      <c r="F178" s="9">
        <v>3</v>
      </c>
      <c r="G178" s="9">
        <v>5</v>
      </c>
      <c r="H178" s="9">
        <v>400</v>
      </c>
      <c r="I178" s="29">
        <f t="shared" si="55"/>
        <v>6000</v>
      </c>
      <c r="J178" s="168"/>
      <c r="K178" s="35" t="s">
        <v>25</v>
      </c>
      <c r="L178" s="170"/>
      <c r="M178" s="40" t="str">
        <f t="shared" si="56"/>
        <v/>
      </c>
      <c r="N178" s="26">
        <f t="shared" si="57"/>
        <v>6000</v>
      </c>
      <c r="O178" s="41" t="str">
        <f t="shared" si="58"/>
        <v/>
      </c>
      <c r="P178" s="57">
        <f t="shared" si="54"/>
        <v>6000</v>
      </c>
    </row>
    <row r="179" spans="1:16" ht="18" customHeight="1" thickBot="1">
      <c r="A179" s="416"/>
      <c r="B179" s="436"/>
      <c r="C179" s="123" t="s">
        <v>185</v>
      </c>
      <c r="D179" s="146" t="s">
        <v>23</v>
      </c>
      <c r="E179" s="58" t="s">
        <v>35</v>
      </c>
      <c r="F179" s="58">
        <v>3</v>
      </c>
      <c r="G179" s="58">
        <v>10</v>
      </c>
      <c r="H179" s="58">
        <v>300</v>
      </c>
      <c r="I179" s="77">
        <f t="shared" si="55"/>
        <v>9000</v>
      </c>
      <c r="J179" s="174"/>
      <c r="K179" s="163" t="s">
        <v>25</v>
      </c>
      <c r="L179" s="175"/>
      <c r="M179" s="61" t="str">
        <f t="shared" si="56"/>
        <v/>
      </c>
      <c r="N179" s="59">
        <f t="shared" si="57"/>
        <v>9000</v>
      </c>
      <c r="O179" s="62" t="str">
        <f t="shared" si="58"/>
        <v/>
      </c>
      <c r="P179" s="63">
        <f t="shared" si="54"/>
        <v>9000</v>
      </c>
    </row>
    <row r="180" spans="1:16" ht="16.95" customHeight="1" thickBot="1">
      <c r="A180" s="110"/>
      <c r="B180" s="181"/>
      <c r="C180" s="160"/>
      <c r="D180" s="164"/>
      <c r="E180" s="154"/>
      <c r="F180" s="154"/>
      <c r="G180" s="154"/>
      <c r="H180" s="154"/>
      <c r="I180" s="165">
        <f>SUM(I166:I179)</f>
        <v>94800</v>
      </c>
      <c r="J180" s="473" t="s">
        <v>38</v>
      </c>
      <c r="K180" s="436"/>
      <c r="L180" s="432"/>
      <c r="M180" s="155">
        <f>SUM(M166:M179)</f>
        <v>0</v>
      </c>
      <c r="N180" s="154">
        <f>SUM(N166:N179)</f>
        <v>94800</v>
      </c>
      <c r="O180" s="156">
        <f>SUM(O166:O179)</f>
        <v>0</v>
      </c>
      <c r="P180" s="157">
        <f t="shared" si="54"/>
        <v>94800</v>
      </c>
    </row>
    <row r="181" spans="1:16" ht="34.049999999999997" customHeight="1">
      <c r="A181" s="415" t="s">
        <v>186</v>
      </c>
      <c r="B181" s="454" t="s">
        <v>187</v>
      </c>
      <c r="C181" s="126" t="s">
        <v>188</v>
      </c>
      <c r="D181" s="121" t="s">
        <v>23</v>
      </c>
      <c r="E181" s="72" t="s">
        <v>90</v>
      </c>
      <c r="F181" s="72">
        <v>2</v>
      </c>
      <c r="G181" s="72">
        <v>3</v>
      </c>
      <c r="H181" s="72">
        <v>400</v>
      </c>
      <c r="I181" s="79">
        <f t="shared" ref="I181:I187" si="59">F181*G181*H181</f>
        <v>2400</v>
      </c>
      <c r="J181" s="166"/>
      <c r="K181" s="158"/>
      <c r="L181" s="173" t="s">
        <v>25</v>
      </c>
      <c r="M181" s="37" t="str">
        <f t="shared" ref="M181:M187" si="60">IF(AND($J181&gt;0,$K181&gt;0,$L181&gt;0),$I181/3,IF(AND($J181&gt;0,$K181&gt;0),$I181/2,IF(AND(J181="",OR($K181&gt;0,$L181&gt;0)),"",$I181)))</f>
        <v/>
      </c>
      <c r="N181" s="38" t="str">
        <f t="shared" ref="N181:N187" si="61">IF(AND($J181&gt;0,$K181&gt;0,$L181&gt;0),$I181/3,IF(AND($J181&gt;0,$K181&gt;0),$I181/2,IF(AND($J181="",$K181&gt;0),$I181,"")))</f>
        <v/>
      </c>
      <c r="O181" s="39">
        <f t="shared" ref="O181:O187" si="62">IF(AND($J181&gt;0,$K181&gt;0,$L181&gt;0),$I181/3,IF(AND(J181="",$K181&gt;0,$L181&gt;0),$I181/2,IF(AND($J181="",$K181="",L181&gt;0),$I181,"")))</f>
        <v>2400</v>
      </c>
      <c r="P181" s="74">
        <f t="shared" si="54"/>
        <v>2400</v>
      </c>
    </row>
    <row r="182" spans="1:16" ht="16.95" customHeight="1">
      <c r="A182" s="416"/>
      <c r="B182" s="436"/>
      <c r="C182" s="123" t="s">
        <v>189</v>
      </c>
      <c r="D182" s="36" t="s">
        <v>23</v>
      </c>
      <c r="E182" s="9" t="s">
        <v>190</v>
      </c>
      <c r="F182" s="9">
        <v>2</v>
      </c>
      <c r="G182" s="9">
        <v>3</v>
      </c>
      <c r="H182" s="9">
        <v>400</v>
      </c>
      <c r="I182" s="29">
        <f t="shared" si="59"/>
        <v>2400</v>
      </c>
      <c r="J182" s="168"/>
      <c r="K182" s="35"/>
      <c r="L182" s="170" t="s">
        <v>25</v>
      </c>
      <c r="M182" s="40" t="str">
        <f t="shared" si="60"/>
        <v/>
      </c>
      <c r="N182" s="26" t="str">
        <f t="shared" si="61"/>
        <v/>
      </c>
      <c r="O182" s="41">
        <f t="shared" si="62"/>
        <v>2400</v>
      </c>
      <c r="P182" s="57">
        <f t="shared" si="54"/>
        <v>2400</v>
      </c>
    </row>
    <row r="183" spans="1:16" ht="17.25" customHeight="1">
      <c r="A183" s="416"/>
      <c r="B183" s="436"/>
      <c r="C183" s="419" t="s">
        <v>191</v>
      </c>
      <c r="D183" s="36" t="s">
        <v>23</v>
      </c>
      <c r="E183" s="9" t="s">
        <v>190</v>
      </c>
      <c r="F183" s="9">
        <v>2</v>
      </c>
      <c r="G183" s="9">
        <f>4*3*2</f>
        <v>24</v>
      </c>
      <c r="H183" s="9">
        <v>400</v>
      </c>
      <c r="I183" s="29">
        <f t="shared" si="59"/>
        <v>19200</v>
      </c>
      <c r="J183" s="168"/>
      <c r="K183" s="35"/>
      <c r="L183" s="170" t="s">
        <v>25</v>
      </c>
      <c r="M183" s="40" t="str">
        <f t="shared" si="60"/>
        <v/>
      </c>
      <c r="N183" s="26" t="str">
        <f t="shared" si="61"/>
        <v/>
      </c>
      <c r="O183" s="41">
        <f t="shared" si="62"/>
        <v>19200</v>
      </c>
      <c r="P183" s="57">
        <f t="shared" si="54"/>
        <v>19200</v>
      </c>
    </row>
    <row r="184" spans="1:16" ht="16.05" customHeight="1">
      <c r="A184" s="416"/>
      <c r="B184" s="436"/>
      <c r="C184" s="418"/>
      <c r="D184" s="36" t="s">
        <v>31</v>
      </c>
      <c r="E184" s="9" t="s">
        <v>32</v>
      </c>
      <c r="F184" s="9">
        <v>10</v>
      </c>
      <c r="G184" s="9">
        <f>4*3*2</f>
        <v>24</v>
      </c>
      <c r="H184" s="9">
        <v>50</v>
      </c>
      <c r="I184" s="29">
        <f t="shared" si="59"/>
        <v>12000</v>
      </c>
      <c r="J184" s="168"/>
      <c r="K184" s="35"/>
      <c r="L184" s="170" t="s">
        <v>25</v>
      </c>
      <c r="M184" s="40" t="str">
        <f t="shared" si="60"/>
        <v/>
      </c>
      <c r="N184" s="26" t="str">
        <f t="shared" si="61"/>
        <v/>
      </c>
      <c r="O184" s="41">
        <f t="shared" si="62"/>
        <v>12000</v>
      </c>
      <c r="P184" s="57">
        <f t="shared" si="54"/>
        <v>12000</v>
      </c>
    </row>
    <row r="185" spans="1:16" ht="34.049999999999997" customHeight="1">
      <c r="A185" s="416"/>
      <c r="B185" s="436"/>
      <c r="C185" s="123" t="s">
        <v>33</v>
      </c>
      <c r="D185" s="36" t="s">
        <v>23</v>
      </c>
      <c r="E185" s="9" t="s">
        <v>109</v>
      </c>
      <c r="F185" s="9">
        <v>2</v>
      </c>
      <c r="G185" s="9">
        <v>10</v>
      </c>
      <c r="H185" s="9">
        <v>400</v>
      </c>
      <c r="I185" s="29">
        <f t="shared" si="59"/>
        <v>8000</v>
      </c>
      <c r="J185" s="168"/>
      <c r="K185" s="35"/>
      <c r="L185" s="170" t="s">
        <v>25</v>
      </c>
      <c r="M185" s="40" t="str">
        <f t="shared" si="60"/>
        <v/>
      </c>
      <c r="N185" s="26" t="str">
        <f t="shared" si="61"/>
        <v/>
      </c>
      <c r="O185" s="41">
        <f t="shared" si="62"/>
        <v>8000</v>
      </c>
      <c r="P185" s="57">
        <f t="shared" si="54"/>
        <v>8000</v>
      </c>
    </row>
    <row r="186" spans="1:16" ht="16.95" customHeight="1">
      <c r="A186" s="416"/>
      <c r="B186" s="436"/>
      <c r="C186" s="123" t="s">
        <v>192</v>
      </c>
      <c r="D186" s="36" t="s">
        <v>23</v>
      </c>
      <c r="E186" s="9" t="s">
        <v>190</v>
      </c>
      <c r="F186" s="9">
        <v>2</v>
      </c>
      <c r="G186" s="9">
        <f>3*4*2</f>
        <v>24</v>
      </c>
      <c r="H186" s="9">
        <v>400</v>
      </c>
      <c r="I186" s="29">
        <f t="shared" si="59"/>
        <v>19200</v>
      </c>
      <c r="J186" s="168"/>
      <c r="K186" s="35"/>
      <c r="L186" s="170" t="s">
        <v>25</v>
      </c>
      <c r="M186" s="40" t="str">
        <f t="shared" si="60"/>
        <v/>
      </c>
      <c r="N186" s="26" t="str">
        <f t="shared" si="61"/>
        <v/>
      </c>
      <c r="O186" s="41">
        <f t="shared" si="62"/>
        <v>19200</v>
      </c>
      <c r="P186" s="57">
        <f t="shared" si="54"/>
        <v>19200</v>
      </c>
    </row>
    <row r="187" spans="1:16" s="6" customFormat="1" ht="18" customHeight="1" thickBot="1">
      <c r="A187" s="416"/>
      <c r="B187" s="455"/>
      <c r="C187" s="124" t="s">
        <v>193</v>
      </c>
      <c r="D187" s="122" t="s">
        <v>23</v>
      </c>
      <c r="E187" s="58" t="s">
        <v>109</v>
      </c>
      <c r="F187" s="58">
        <v>2</v>
      </c>
      <c r="G187" s="58">
        <v>10</v>
      </c>
      <c r="H187" s="58">
        <v>400</v>
      </c>
      <c r="I187" s="77">
        <f t="shared" si="59"/>
        <v>8000</v>
      </c>
      <c r="J187" s="61"/>
      <c r="K187" s="163"/>
      <c r="L187" s="175" t="s">
        <v>25</v>
      </c>
      <c r="M187" s="61" t="str">
        <f t="shared" si="60"/>
        <v/>
      </c>
      <c r="N187" s="59" t="str">
        <f t="shared" si="61"/>
        <v/>
      </c>
      <c r="O187" s="62">
        <f t="shared" si="62"/>
        <v>8000</v>
      </c>
      <c r="P187" s="63">
        <f t="shared" si="54"/>
        <v>8000</v>
      </c>
    </row>
    <row r="188" spans="1:16" s="6" customFormat="1" ht="16.95" customHeight="1" thickBot="1">
      <c r="A188" s="110"/>
      <c r="B188" s="181"/>
      <c r="C188" s="162"/>
      <c r="D188" s="118"/>
      <c r="E188" s="64"/>
      <c r="F188" s="64"/>
      <c r="G188" s="64"/>
      <c r="H188" s="64"/>
      <c r="I188" s="78">
        <f>SUM(I181:I187)</f>
        <v>71200</v>
      </c>
      <c r="J188" s="467" t="s">
        <v>38</v>
      </c>
      <c r="K188" s="426"/>
      <c r="L188" s="427"/>
      <c r="M188" s="65">
        <f>SUM(M181:M187)</f>
        <v>0</v>
      </c>
      <c r="N188" s="64">
        <f>SUM(N181:N187)</f>
        <v>0</v>
      </c>
      <c r="O188" s="66">
        <f>SUM(O181:O187)</f>
        <v>71200</v>
      </c>
      <c r="P188" s="67">
        <f t="shared" si="54"/>
        <v>71200</v>
      </c>
    </row>
    <row r="189" spans="1:16" s="6" customFormat="1" ht="16.95" customHeight="1">
      <c r="A189" s="458" t="s">
        <v>194</v>
      </c>
      <c r="B189" s="456" t="s">
        <v>195</v>
      </c>
      <c r="C189" s="126" t="s">
        <v>196</v>
      </c>
      <c r="D189" s="121" t="s">
        <v>23</v>
      </c>
      <c r="E189" s="72" t="s">
        <v>197</v>
      </c>
      <c r="F189" s="72">
        <v>3</v>
      </c>
      <c r="G189" s="72">
        <v>5</v>
      </c>
      <c r="H189" s="72">
        <v>400</v>
      </c>
      <c r="I189" s="79">
        <f>F189*G189*H189</f>
        <v>6000</v>
      </c>
      <c r="J189" s="37"/>
      <c r="K189" s="38"/>
      <c r="L189" s="39" t="s">
        <v>25</v>
      </c>
      <c r="M189" s="37" t="str">
        <f>IF(AND($J189&gt;0,$K189&gt;0,$L189&gt;0),$I189/3,IF(AND($J189&gt;0,$K189&gt;0),$I189/2,IF(AND(J189="",OR($K189&gt;0,$L189&gt;0)),"",$I189)))</f>
        <v/>
      </c>
      <c r="N189" s="38" t="str">
        <f>IF(AND($J189&gt;0,$K189&gt;0,$L189&gt;0),$I189/3,IF(AND($J189&gt;0,$K189&gt;0),$I189/2,IF(AND($J189="",$K189&gt;0),$I189,"")))</f>
        <v/>
      </c>
      <c r="O189" s="39">
        <f>IF(AND($J189&gt;0,$K189&gt;0,$L189&gt;0),$I189/3,IF(AND(J189="",$K189&gt;0,$L189&gt;0),$I189/2,IF(AND($J189="",$K189="",L189&gt;0),$I189,"")))</f>
        <v>6000</v>
      </c>
      <c r="P189" s="74">
        <f t="shared" si="54"/>
        <v>6000</v>
      </c>
    </row>
    <row r="190" spans="1:16" s="6" customFormat="1" ht="16.95" customHeight="1">
      <c r="A190" s="416"/>
      <c r="B190" s="455"/>
      <c r="C190" s="123" t="s">
        <v>198</v>
      </c>
      <c r="D190" s="36" t="s">
        <v>31</v>
      </c>
      <c r="E190" s="9" t="s">
        <v>32</v>
      </c>
      <c r="F190" s="9">
        <f>168+24+18+42</f>
        <v>252</v>
      </c>
      <c r="G190" s="9">
        <v>2</v>
      </c>
      <c r="H190" s="9">
        <v>50</v>
      </c>
      <c r="I190" s="29">
        <f>F190*G190*H190</f>
        <v>25200</v>
      </c>
      <c r="J190" s="40"/>
      <c r="K190" s="26"/>
      <c r="L190" s="41" t="s">
        <v>25</v>
      </c>
      <c r="M190" s="40" t="str">
        <f>IF(AND($J190&gt;0,$K190&gt;0,$L190&gt;0),$I190/3,IF(AND($J190&gt;0,$K190&gt;0),$I190/2,IF(AND(J190="",OR($K190&gt;0,$L190&gt;0)),"",$I190)))</f>
        <v/>
      </c>
      <c r="N190" s="26" t="str">
        <f>IF(AND($J190&gt;0,$K190&gt;0,$L190&gt;0),$I190/3,IF(AND($J190&gt;0,$K190&gt;0),$I190/2,IF(AND($J190="",$K190&gt;0),$I190,"")))</f>
        <v/>
      </c>
      <c r="O190" s="41">
        <f>IF(AND($J190&gt;0,$K190&gt;0,$L190&gt;0),$I190/3,IF(AND(J190="",$K190&gt;0,$L190&gt;0),$I190/2,IF(AND($J190="",$K190="",L190&gt;0),$I190,"")))</f>
        <v>25200</v>
      </c>
      <c r="P190" s="57">
        <f t="shared" si="54"/>
        <v>25200</v>
      </c>
    </row>
    <row r="191" spans="1:16" s="6" customFormat="1" ht="16.95" customHeight="1">
      <c r="A191" s="416"/>
      <c r="B191" s="455"/>
      <c r="C191" s="123" t="s">
        <v>199</v>
      </c>
      <c r="D191" s="36" t="s">
        <v>23</v>
      </c>
      <c r="E191" s="9" t="s">
        <v>109</v>
      </c>
      <c r="F191" s="9">
        <v>2</v>
      </c>
      <c r="G191" s="9">
        <f>3*4*2</f>
        <v>24</v>
      </c>
      <c r="H191" s="9">
        <v>400</v>
      </c>
      <c r="I191" s="29">
        <f>F191*G191*H191</f>
        <v>19200</v>
      </c>
      <c r="J191" s="40"/>
      <c r="K191" s="26"/>
      <c r="L191" s="41" t="s">
        <v>25</v>
      </c>
      <c r="M191" s="40" t="str">
        <f>IF(AND($J191&gt;0,$K191&gt;0,$L191&gt;0),$I191/3,IF(AND($J191&gt;0,$K191&gt;0),$I191/2,IF(AND(J191="",OR($K191&gt;0,$L191&gt;0)),"",$I191)))</f>
        <v/>
      </c>
      <c r="N191" s="26" t="str">
        <f>IF(AND($J191&gt;0,$K191&gt;0,$L191&gt;0),$I191/3,IF(AND($J191&gt;0,$K191&gt;0),$I191/2,IF(AND($J191="",$K191&gt;0),$I191,"")))</f>
        <v/>
      </c>
      <c r="O191" s="41">
        <f>IF(AND($J191&gt;0,$K191&gt;0,$L191&gt;0),$I191/3,IF(AND(J191="",$K191&gt;0,$L191&gt;0),$I191/2,IF(AND($J191="",$K191="",L191&gt;0),$I191,"")))</f>
        <v>19200</v>
      </c>
      <c r="P191" s="57">
        <f t="shared" si="54"/>
        <v>19200</v>
      </c>
    </row>
    <row r="192" spans="1:16" s="6" customFormat="1" ht="16.95" customHeight="1">
      <c r="A192" s="416"/>
      <c r="B192" s="455"/>
      <c r="C192" s="123" t="s">
        <v>200</v>
      </c>
      <c r="D192" s="36" t="s">
        <v>23</v>
      </c>
      <c r="E192" s="9" t="s">
        <v>109</v>
      </c>
      <c r="F192" s="9">
        <v>2</v>
      </c>
      <c r="G192" s="9">
        <v>10</v>
      </c>
      <c r="H192" s="9">
        <v>400</v>
      </c>
      <c r="I192" s="29">
        <f>F192*G192*H192</f>
        <v>8000</v>
      </c>
      <c r="J192" s="40"/>
      <c r="K192" s="26"/>
      <c r="L192" s="41" t="s">
        <v>25</v>
      </c>
      <c r="M192" s="40" t="str">
        <f>IF(AND($J192&gt;0,$K192&gt;0,$L192&gt;0),$I192/3,IF(AND($J192&gt;0,$K192&gt;0),$I192/2,IF(AND(J192="",OR($K192&gt;0,$L192&gt;0)),"",$I192)))</f>
        <v/>
      </c>
      <c r="N192" s="26" t="str">
        <f>IF(AND($J192&gt;0,$K192&gt;0,$L192&gt;0),$I192/3,IF(AND($J192&gt;0,$K192&gt;0),$I192/2,IF(AND($J192="",$K192&gt;0),$I192,"")))</f>
        <v/>
      </c>
      <c r="O192" s="41">
        <f>IF(AND($J192&gt;0,$K192&gt;0,$L192&gt;0),$I192/3,IF(AND(J192="",$K192&gt;0,$L192&gt;0),$I192/2,IF(AND($J192="",$K192="",L192&gt;0),$I192,"")))</f>
        <v>8000</v>
      </c>
      <c r="P192" s="57">
        <f t="shared" si="54"/>
        <v>8000</v>
      </c>
    </row>
    <row r="193" spans="1:18" s="6" customFormat="1" ht="18" customHeight="1" thickBot="1">
      <c r="A193" s="416"/>
      <c r="B193" s="455"/>
      <c r="C193" s="123" t="s">
        <v>201</v>
      </c>
      <c r="D193" s="36" t="s">
        <v>23</v>
      </c>
      <c r="E193" s="9" t="s">
        <v>109</v>
      </c>
      <c r="F193" s="9">
        <v>2</v>
      </c>
      <c r="G193" s="9">
        <v>10</v>
      </c>
      <c r="H193" s="9">
        <v>300</v>
      </c>
      <c r="I193" s="29">
        <f>F193*G193*H193</f>
        <v>6000</v>
      </c>
      <c r="J193" s="40"/>
      <c r="K193" s="26"/>
      <c r="L193" s="41" t="s">
        <v>25</v>
      </c>
      <c r="M193" s="93" t="str">
        <f>IF(AND($J193&gt;0,$K193&gt;0,$L193&gt;0),$I193/3,IF(AND($J193&gt;0,$K193&gt;0),$I193/2,IF(AND(J193="",OR($K193&gt;0,$L193&gt;0)),"",$I193)))</f>
        <v/>
      </c>
      <c r="N193" s="94" t="str">
        <f>IF(AND($J193&gt;0,$K193&gt;0,$L193&gt;0),$I193/3,IF(AND($J193&gt;0,$K193&gt;0),$I193/2,IF(AND($J193="",$K193&gt;0),$I193,"")))</f>
        <v/>
      </c>
      <c r="O193" s="95">
        <f>IF(AND($J193&gt;0,$K193&gt;0,$L193&gt;0),$I193/3,IF(AND(J193="",$K193&gt;0,$L193&gt;0),$I193/2,IF(AND($J193="",$K193="",L193&gt;0),$I193,"")))</f>
        <v>6000</v>
      </c>
      <c r="P193" s="57">
        <f t="shared" si="54"/>
        <v>6000</v>
      </c>
    </row>
    <row r="194" spans="1:18" s="6" customFormat="1" ht="16.95" customHeight="1" thickBot="1">
      <c r="A194" s="441"/>
      <c r="B194" s="457"/>
      <c r="C194" s="149"/>
      <c r="D194" s="112"/>
      <c r="E194" s="42"/>
      <c r="F194" s="42"/>
      <c r="G194" s="42"/>
      <c r="H194" s="42"/>
      <c r="I194" s="75">
        <f>SUM(I189:I193)</f>
        <v>64400</v>
      </c>
      <c r="J194" s="466" t="s">
        <v>38</v>
      </c>
      <c r="K194" s="423"/>
      <c r="L194" s="424"/>
      <c r="M194" s="97">
        <f>SUM(M189:M193)</f>
        <v>0</v>
      </c>
      <c r="N194" s="98">
        <f>SUM(N189:N193)</f>
        <v>0</v>
      </c>
      <c r="O194" s="100">
        <f>SUM(O189:O193)</f>
        <v>64400</v>
      </c>
      <c r="P194" s="70">
        <f t="shared" si="54"/>
        <v>64400</v>
      </c>
    </row>
    <row r="195" spans="1:18" s="6" customFormat="1" ht="17.25" customHeight="1" thickBot="1">
      <c r="A195" s="422" t="s">
        <v>104</v>
      </c>
      <c r="B195" s="423"/>
      <c r="C195" s="423"/>
      <c r="D195" s="423"/>
      <c r="E195" s="423"/>
      <c r="F195" s="423"/>
      <c r="G195" s="423"/>
      <c r="H195" s="423"/>
      <c r="I195" s="423"/>
      <c r="J195" s="423"/>
      <c r="K195" s="423"/>
      <c r="L195" s="424"/>
      <c r="M195" s="155">
        <f>M165+M180+M188+M194</f>
        <v>94200</v>
      </c>
      <c r="N195" s="154">
        <f>N165+N180+N188+N194</f>
        <v>94800</v>
      </c>
      <c r="O195" s="156">
        <f>O165+O180+O188+O194</f>
        <v>135600</v>
      </c>
      <c r="P195" s="164">
        <f t="shared" si="54"/>
        <v>324600</v>
      </c>
      <c r="R195" s="1"/>
    </row>
    <row r="196" spans="1:18" ht="17.25" customHeight="1" thickBot="1">
      <c r="A196" s="422" t="s">
        <v>202</v>
      </c>
      <c r="B196" s="423"/>
      <c r="C196" s="423"/>
      <c r="D196" s="423"/>
      <c r="E196" s="423"/>
      <c r="F196" s="423"/>
      <c r="G196" s="423"/>
      <c r="H196" s="423"/>
      <c r="I196" s="423"/>
      <c r="J196" s="423"/>
      <c r="K196" s="423"/>
      <c r="L196" s="424"/>
      <c r="M196" s="177">
        <f>M195+M149+M68</f>
        <v>478366.66666666669</v>
      </c>
      <c r="N196" s="178">
        <f>N195+N149+N68</f>
        <v>626516.66666666663</v>
      </c>
      <c r="O196" s="179">
        <f>O195+O149+O68</f>
        <v>601516.66666666663</v>
      </c>
      <c r="P196" s="180">
        <f>P195+P149+P68</f>
        <v>1706400</v>
      </c>
    </row>
    <row r="197" spans="1:18" ht="15.6"/>
    <row r="198" spans="1:18" ht="15.75" customHeight="1">
      <c r="M198" s="183">
        <f>M196*0.05</f>
        <v>23918.333333333336</v>
      </c>
      <c r="N198" s="183">
        <f>N196*0.05</f>
        <v>31325.833333333332</v>
      </c>
      <c r="O198" s="183">
        <f>O196*0.05</f>
        <v>30075.833333333332</v>
      </c>
    </row>
    <row r="199" spans="1:18" ht="15.6"/>
    <row r="200" spans="1:18" ht="15.75" customHeight="1">
      <c r="M200" s="183">
        <f>M196+M198</f>
        <v>502285</v>
      </c>
      <c r="N200" s="183">
        <f>N196+N198</f>
        <v>657842.5</v>
      </c>
      <c r="O200" s="183">
        <f>O196+O198</f>
        <v>631592.5</v>
      </c>
    </row>
    <row r="201" spans="1:18" ht="15.6"/>
    <row r="202" spans="1:18" ht="15.6"/>
    <row r="203" spans="1:18" ht="15.75" customHeight="1">
      <c r="E203" s="1" t="s">
        <v>203</v>
      </c>
      <c r="M203" s="1">
        <f>9819+11752</f>
        <v>21571</v>
      </c>
    </row>
  </sheetData>
  <mergeCells count="91">
    <mergeCell ref="J188:L188"/>
    <mergeCell ref="J194:L194"/>
    <mergeCell ref="A149:L149"/>
    <mergeCell ref="A195:L195"/>
    <mergeCell ref="J120:L120"/>
    <mergeCell ref="J139:L139"/>
    <mergeCell ref="J148:L148"/>
    <mergeCell ref="J165:L165"/>
    <mergeCell ref="J180:L180"/>
    <mergeCell ref="C159:C160"/>
    <mergeCell ref="C156:C157"/>
    <mergeCell ref="C126:C127"/>
    <mergeCell ref="C132:C133"/>
    <mergeCell ref="C134:C135"/>
    <mergeCell ref="C151:C152"/>
    <mergeCell ref="A150:P150"/>
    <mergeCell ref="A4:A14"/>
    <mergeCell ref="J40:L40"/>
    <mergeCell ref="J47:L47"/>
    <mergeCell ref="J86:L86"/>
    <mergeCell ref="J103:L103"/>
    <mergeCell ref="J14:L14"/>
    <mergeCell ref="J28:L28"/>
    <mergeCell ref="J55:L55"/>
    <mergeCell ref="J67:L67"/>
    <mergeCell ref="B4:B14"/>
    <mergeCell ref="A48:A55"/>
    <mergeCell ref="B48:B55"/>
    <mergeCell ref="A70:A86"/>
    <mergeCell ref="B70:B86"/>
    <mergeCell ref="C22:C23"/>
    <mergeCell ref="C16:C17"/>
    <mergeCell ref="C169:C170"/>
    <mergeCell ref="C110:C111"/>
    <mergeCell ref="C112:C113"/>
    <mergeCell ref="B15:B28"/>
    <mergeCell ref="A15:A28"/>
    <mergeCell ref="A29:A40"/>
    <mergeCell ref="B29:B40"/>
    <mergeCell ref="A41:A47"/>
    <mergeCell ref="B41:B47"/>
    <mergeCell ref="C72:C73"/>
    <mergeCell ref="C76:C77"/>
    <mergeCell ref="B56:B67"/>
    <mergeCell ref="A56:A67"/>
    <mergeCell ref="C78:C81"/>
    <mergeCell ref="C89:C90"/>
    <mergeCell ref="C70:C71"/>
    <mergeCell ref="A181:A187"/>
    <mergeCell ref="B181:B187"/>
    <mergeCell ref="B189:B194"/>
    <mergeCell ref="A189:A194"/>
    <mergeCell ref="B121:B139"/>
    <mergeCell ref="P1:P2"/>
    <mergeCell ref="D1:D2"/>
    <mergeCell ref="B1:B2"/>
    <mergeCell ref="A1:A2"/>
    <mergeCell ref="C1:C2"/>
    <mergeCell ref="F1:F2"/>
    <mergeCell ref="G1:G2"/>
    <mergeCell ref="H1:H2"/>
    <mergeCell ref="I1:I2"/>
    <mergeCell ref="M1:O1"/>
    <mergeCell ref="E1:E2"/>
    <mergeCell ref="J1:L1"/>
    <mergeCell ref="A196:L196"/>
    <mergeCell ref="A69:P69"/>
    <mergeCell ref="A3:P3"/>
    <mergeCell ref="A68:L68"/>
    <mergeCell ref="A87:A103"/>
    <mergeCell ref="B87:B103"/>
    <mergeCell ref="A151:A164"/>
    <mergeCell ref="B151:B164"/>
    <mergeCell ref="B166:B179"/>
    <mergeCell ref="A166:A179"/>
    <mergeCell ref="B140:B148"/>
    <mergeCell ref="A140:A148"/>
    <mergeCell ref="C176:C177"/>
    <mergeCell ref="C166:C167"/>
    <mergeCell ref="C174:C175"/>
    <mergeCell ref="C183:C184"/>
    <mergeCell ref="C8:C9"/>
    <mergeCell ref="C121:C122"/>
    <mergeCell ref="C142:C143"/>
    <mergeCell ref="C87:C88"/>
    <mergeCell ref="C53:C54"/>
    <mergeCell ref="C95:C96"/>
    <mergeCell ref="C30:C31"/>
    <mergeCell ref="C93:C94"/>
    <mergeCell ref="C106:C107"/>
    <mergeCell ref="C104:C105"/>
  </mergeCells>
  <pageMargins left="0.7" right="0.7" top="0.75" bottom="0.75" header="0.3" footer="0.3"/>
  <pageSetup orientation="portrait" horizontalDpi="360" verticalDpi="36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123"/>
  <sheetViews>
    <sheetView zoomScaleNormal="100" workbookViewId="0">
      <pane ySplit="3" topLeftCell="A4" activePane="bottomLeft" state="frozen"/>
      <selection activeCell="C1" sqref="C1"/>
      <selection pane="bottomLeft" activeCell="A94" sqref="A94"/>
    </sheetView>
  </sheetViews>
  <sheetFormatPr defaultColWidth="9" defaultRowHeight="15.75" customHeight="1"/>
  <cols>
    <col min="1" max="1" width="87.69921875" style="8" customWidth="1"/>
    <col min="2" max="2" width="55.19921875" style="1" customWidth="1"/>
    <col min="3" max="3" width="19.796875" style="1" bestFit="1" customWidth="1"/>
    <col min="4" max="4" width="9" style="1" bestFit="1" customWidth="1"/>
    <col min="5" max="6" width="9" style="1" customWidth="1"/>
    <col min="7" max="7" width="9" style="1" bestFit="1" customWidth="1"/>
    <col min="8" max="8" width="17.5" style="10" customWidth="1"/>
    <col min="9" max="10" width="6.5" style="1" bestFit="1" customWidth="1"/>
    <col min="11" max="11" width="9" style="1" customWidth="1"/>
    <col min="12" max="16384" width="9" style="1"/>
  </cols>
  <sheetData>
    <row r="1" spans="1:9" ht="16.05" customHeight="1">
      <c r="A1" s="265" t="s">
        <v>0</v>
      </c>
      <c r="B1" s="266" t="s">
        <v>1</v>
      </c>
      <c r="C1" s="266" t="s">
        <v>3</v>
      </c>
      <c r="D1" s="267" t="s">
        <v>9</v>
      </c>
      <c r="E1" s="268"/>
      <c r="F1" s="268"/>
      <c r="G1" s="221"/>
      <c r="H1" s="269" t="s">
        <v>350</v>
      </c>
    </row>
    <row r="2" spans="1:9" ht="36.75" customHeight="1" thickBot="1">
      <c r="A2" s="186"/>
      <c r="B2" s="220"/>
      <c r="C2" s="220"/>
      <c r="D2" s="270" t="s">
        <v>259</v>
      </c>
      <c r="E2" s="271" t="s">
        <v>260</v>
      </c>
      <c r="F2" s="271" t="s">
        <v>261</v>
      </c>
      <c r="G2" s="272" t="s">
        <v>262</v>
      </c>
      <c r="H2" s="222"/>
      <c r="I2" s="19"/>
    </row>
    <row r="3" spans="1:9" ht="18" customHeight="1" thickBot="1">
      <c r="A3" s="273" t="s">
        <v>263</v>
      </c>
      <c r="B3" s="247"/>
      <c r="C3" s="247"/>
      <c r="D3" s="247"/>
      <c r="E3" s="247"/>
      <c r="F3" s="247"/>
      <c r="G3" s="247"/>
      <c r="H3" s="248"/>
    </row>
    <row r="4" spans="1:9" s="290" customFormat="1" ht="18" customHeight="1" thickBot="1">
      <c r="A4" s="291" t="s">
        <v>330</v>
      </c>
      <c r="B4" s="287"/>
      <c r="C4" s="287"/>
      <c r="D4" s="287"/>
      <c r="E4" s="287"/>
      <c r="F4" s="287"/>
      <c r="G4" s="288"/>
      <c r="H4" s="289"/>
    </row>
    <row r="5" spans="1:9" s="6" customFormat="1" ht="19.05" customHeight="1" thickBot="1">
      <c r="A5" s="185" t="s">
        <v>264</v>
      </c>
      <c r="B5" s="185" t="s">
        <v>378</v>
      </c>
      <c r="C5" s="50" t="s">
        <v>204</v>
      </c>
      <c r="D5" s="37">
        <v>3000</v>
      </c>
      <c r="E5" s="364" t="s">
        <v>205</v>
      </c>
      <c r="F5" s="364" t="s">
        <v>205</v>
      </c>
      <c r="G5" s="261" t="s">
        <v>205</v>
      </c>
      <c r="H5" s="379">
        <v>3000</v>
      </c>
    </row>
    <row r="6" spans="1:9" s="6" customFormat="1" ht="19.05" customHeight="1" thickBot="1">
      <c r="A6" s="185" t="s">
        <v>438</v>
      </c>
      <c r="B6" s="127" t="s">
        <v>436</v>
      </c>
      <c r="C6" s="50" t="s">
        <v>204</v>
      </c>
      <c r="D6" s="48" t="s">
        <v>437</v>
      </c>
      <c r="E6" s="365"/>
      <c r="F6" s="365"/>
      <c r="G6" s="366"/>
      <c r="H6" s="379"/>
    </row>
    <row r="7" spans="1:9" s="6" customFormat="1" ht="19.05" customHeight="1" thickBot="1">
      <c r="A7" s="185" t="s">
        <v>379</v>
      </c>
      <c r="B7" s="127" t="s">
        <v>382</v>
      </c>
      <c r="C7" s="50" t="s">
        <v>204</v>
      </c>
      <c r="D7" s="48">
        <v>2000</v>
      </c>
      <c r="E7" s="365" t="s">
        <v>205</v>
      </c>
      <c r="F7" s="365" t="s">
        <v>205</v>
      </c>
      <c r="G7" s="366" t="s">
        <v>205</v>
      </c>
      <c r="H7" s="379">
        <v>2000</v>
      </c>
    </row>
    <row r="8" spans="1:9" s="6" customFormat="1" ht="19.05" customHeight="1" thickBot="1">
      <c r="A8" s="185" t="s">
        <v>265</v>
      </c>
      <c r="B8" s="127" t="s">
        <v>380</v>
      </c>
      <c r="C8" s="50" t="s">
        <v>204</v>
      </c>
      <c r="D8" s="48">
        <v>2000</v>
      </c>
      <c r="E8" s="365" t="s">
        <v>205</v>
      </c>
      <c r="F8" s="365" t="s">
        <v>205</v>
      </c>
      <c r="G8" s="366" t="s">
        <v>205</v>
      </c>
      <c r="H8" s="379">
        <v>2000</v>
      </c>
    </row>
    <row r="9" spans="1:9" s="6" customFormat="1" ht="19.05" customHeight="1" thickBot="1">
      <c r="A9" s="185" t="s">
        <v>266</v>
      </c>
      <c r="B9" s="127" t="s">
        <v>381</v>
      </c>
      <c r="C9" s="36" t="s">
        <v>204</v>
      </c>
      <c r="D9" s="40">
        <v>3500</v>
      </c>
      <c r="E9" s="367" t="s">
        <v>205</v>
      </c>
      <c r="F9" s="367" t="s">
        <v>205</v>
      </c>
      <c r="G9" s="240" t="s">
        <v>205</v>
      </c>
      <c r="H9" s="380">
        <v>3500</v>
      </c>
    </row>
    <row r="10" spans="1:9" s="324" customFormat="1" ht="19.05" customHeight="1" thickBot="1">
      <c r="A10" s="320" t="s">
        <v>351</v>
      </c>
      <c r="B10" s="321"/>
      <c r="C10" s="322"/>
      <c r="D10" s="360">
        <v>10500</v>
      </c>
      <c r="E10" s="323" t="s">
        <v>205</v>
      </c>
      <c r="F10" s="323" t="s">
        <v>205</v>
      </c>
      <c r="G10" s="323" t="s">
        <v>205</v>
      </c>
      <c r="H10" s="343">
        <v>10500</v>
      </c>
    </row>
    <row r="11" spans="1:9" s="284" customFormat="1" ht="19.05" customHeight="1" thickBot="1">
      <c r="A11" s="296" t="s">
        <v>331</v>
      </c>
      <c r="B11" s="292"/>
      <c r="C11" s="293"/>
      <c r="D11" s="294"/>
      <c r="E11" s="295"/>
      <c r="F11" s="295"/>
      <c r="G11" s="295"/>
      <c r="H11" s="252"/>
    </row>
    <row r="12" spans="1:9" s="6" customFormat="1" ht="19.05" customHeight="1" thickBot="1">
      <c r="A12" s="185" t="s">
        <v>267</v>
      </c>
      <c r="B12" s="231" t="s">
        <v>383</v>
      </c>
      <c r="C12" s="232" t="s">
        <v>204</v>
      </c>
      <c r="D12" s="375" t="s">
        <v>205</v>
      </c>
      <c r="E12" s="336">
        <v>2500</v>
      </c>
      <c r="F12" s="336" t="s">
        <v>205</v>
      </c>
      <c r="G12" s="369" t="s">
        <v>205</v>
      </c>
      <c r="H12" s="381">
        <v>2500</v>
      </c>
    </row>
    <row r="13" spans="1:9" s="6" customFormat="1" ht="19.05" customHeight="1" thickBot="1">
      <c r="A13" s="185" t="s">
        <v>439</v>
      </c>
      <c r="B13" s="231" t="s">
        <v>436</v>
      </c>
      <c r="C13" s="232" t="s">
        <v>204</v>
      </c>
      <c r="D13" s="375" t="s">
        <v>205</v>
      </c>
      <c r="E13" s="336" t="s">
        <v>437</v>
      </c>
      <c r="F13" s="336"/>
      <c r="G13" s="369"/>
      <c r="H13" s="381"/>
    </row>
    <row r="14" spans="1:9" s="6" customFormat="1" ht="18" customHeight="1" thickBot="1">
      <c r="A14" s="185" t="s">
        <v>268</v>
      </c>
      <c r="B14" s="254" t="s">
        <v>384</v>
      </c>
      <c r="C14" s="256" t="s">
        <v>204</v>
      </c>
      <c r="D14" s="376" t="s">
        <v>205</v>
      </c>
      <c r="E14" s="337">
        <v>2500</v>
      </c>
      <c r="F14" s="377" t="s">
        <v>205</v>
      </c>
      <c r="G14" s="377" t="s">
        <v>205</v>
      </c>
      <c r="H14" s="255">
        <v>2500</v>
      </c>
    </row>
    <row r="15" spans="1:9" s="6" customFormat="1" ht="16.05" customHeight="1" thickBot="1">
      <c r="A15" s="185" t="s">
        <v>269</v>
      </c>
      <c r="B15" s="224" t="s">
        <v>385</v>
      </c>
      <c r="C15" s="225" t="s">
        <v>204</v>
      </c>
      <c r="D15" s="368" t="s">
        <v>205</v>
      </c>
      <c r="E15" s="253">
        <v>2000</v>
      </c>
      <c r="F15" s="370" t="s">
        <v>205</v>
      </c>
      <c r="G15" s="371" t="s">
        <v>205</v>
      </c>
      <c r="H15" s="380">
        <v>2000</v>
      </c>
    </row>
    <row r="16" spans="1:9" s="6" customFormat="1" ht="34.049999999999997" customHeight="1" thickBot="1">
      <c r="A16" s="185" t="s">
        <v>270</v>
      </c>
      <c r="B16" s="224" t="s">
        <v>386</v>
      </c>
      <c r="C16" s="225" t="s">
        <v>204</v>
      </c>
      <c r="D16" s="368" t="s">
        <v>205</v>
      </c>
      <c r="E16" s="253">
        <v>2000</v>
      </c>
      <c r="F16" s="370" t="s">
        <v>205</v>
      </c>
      <c r="G16" s="371" t="s">
        <v>205</v>
      </c>
      <c r="H16" s="380">
        <v>2000</v>
      </c>
    </row>
    <row r="17" spans="1:10" s="324" customFormat="1" ht="34.049999999999997" customHeight="1" thickBot="1">
      <c r="A17" s="320" t="s">
        <v>352</v>
      </c>
      <c r="B17" s="325"/>
      <c r="C17" s="326"/>
      <c r="D17" s="327" t="s">
        <v>205</v>
      </c>
      <c r="E17" s="361">
        <v>9000</v>
      </c>
      <c r="F17" s="328" t="s">
        <v>205</v>
      </c>
      <c r="G17" s="329" t="s">
        <v>205</v>
      </c>
      <c r="H17" s="362">
        <v>9000</v>
      </c>
    </row>
    <row r="18" spans="1:10" s="284" customFormat="1" ht="34.049999999999997" customHeight="1" thickBot="1">
      <c r="A18" s="296" t="s">
        <v>332</v>
      </c>
      <c r="B18" s="297"/>
      <c r="C18" s="298"/>
      <c r="D18" s="299"/>
      <c r="E18" s="300"/>
      <c r="F18" s="300"/>
      <c r="G18" s="301"/>
      <c r="H18" s="233"/>
    </row>
    <row r="19" spans="1:10" s="6" customFormat="1" ht="34.049999999999997" customHeight="1" thickBot="1">
      <c r="A19" s="185" t="s">
        <v>271</v>
      </c>
      <c r="B19" s="224" t="s">
        <v>387</v>
      </c>
      <c r="C19" s="225" t="s">
        <v>204</v>
      </c>
      <c r="D19" s="368" t="s">
        <v>205</v>
      </c>
      <c r="E19" s="370" t="s">
        <v>205</v>
      </c>
      <c r="F19" s="253">
        <v>2000</v>
      </c>
      <c r="G19" s="371" t="s">
        <v>205</v>
      </c>
      <c r="H19" s="380">
        <v>2000</v>
      </c>
    </row>
    <row r="20" spans="1:10" s="6" customFormat="1" ht="34.049999999999997" customHeight="1" thickBot="1">
      <c r="A20" s="185" t="s">
        <v>272</v>
      </c>
      <c r="B20" s="224" t="s">
        <v>388</v>
      </c>
      <c r="C20" s="225"/>
      <c r="D20" s="368" t="s">
        <v>205</v>
      </c>
      <c r="E20" s="370" t="s">
        <v>205</v>
      </c>
      <c r="F20" s="253">
        <v>2000</v>
      </c>
      <c r="G20" s="371" t="s">
        <v>205</v>
      </c>
      <c r="H20" s="380">
        <v>2000</v>
      </c>
    </row>
    <row r="21" spans="1:10" s="6" customFormat="1" ht="34.049999999999997" customHeight="1" thickBot="1">
      <c r="A21" s="185" t="s">
        <v>273</v>
      </c>
      <c r="B21" s="224" t="s">
        <v>389</v>
      </c>
      <c r="C21" s="225"/>
      <c r="D21" s="368" t="s">
        <v>205</v>
      </c>
      <c r="E21" s="370" t="s">
        <v>205</v>
      </c>
      <c r="F21" s="253">
        <v>2500</v>
      </c>
      <c r="G21" s="371" t="s">
        <v>205</v>
      </c>
      <c r="H21" s="380">
        <v>2500</v>
      </c>
    </row>
    <row r="22" spans="1:10" s="324" customFormat="1" ht="34.049999999999997" customHeight="1" thickBot="1">
      <c r="A22" s="320" t="s">
        <v>353</v>
      </c>
      <c r="B22" s="325"/>
      <c r="C22" s="326"/>
      <c r="D22" s="327" t="s">
        <v>205</v>
      </c>
      <c r="E22" s="328" t="s">
        <v>205</v>
      </c>
      <c r="F22" s="361">
        <v>6500</v>
      </c>
      <c r="G22" s="329" t="s">
        <v>205</v>
      </c>
      <c r="H22" s="362">
        <v>6500</v>
      </c>
    </row>
    <row r="23" spans="1:10" s="284" customFormat="1" ht="34.049999999999997" customHeight="1" thickBot="1">
      <c r="A23" s="296" t="s">
        <v>333</v>
      </c>
      <c r="B23" s="297"/>
      <c r="C23" s="298" t="s">
        <v>204</v>
      </c>
      <c r="D23" s="299"/>
      <c r="E23" s="300"/>
      <c r="F23" s="300"/>
      <c r="G23" s="301"/>
      <c r="H23" s="233"/>
    </row>
    <row r="24" spans="1:10" s="6" customFormat="1" ht="67.95" customHeight="1" thickBot="1">
      <c r="A24" s="185" t="s">
        <v>274</v>
      </c>
      <c r="B24" s="224" t="s">
        <v>390</v>
      </c>
      <c r="C24" s="225" t="s">
        <v>204</v>
      </c>
      <c r="D24" s="368" t="s">
        <v>205</v>
      </c>
      <c r="E24" s="370" t="s">
        <v>205</v>
      </c>
      <c r="F24" s="370" t="s">
        <v>205</v>
      </c>
      <c r="G24" s="394">
        <v>2000</v>
      </c>
      <c r="H24" s="380">
        <v>2000</v>
      </c>
    </row>
    <row r="25" spans="1:10" s="6" customFormat="1" ht="34.049999999999997" customHeight="1" thickBot="1">
      <c r="A25" s="185" t="s">
        <v>275</v>
      </c>
      <c r="B25" s="224" t="s">
        <v>391</v>
      </c>
      <c r="C25" s="225" t="s">
        <v>204</v>
      </c>
      <c r="D25" s="368" t="s">
        <v>205</v>
      </c>
      <c r="E25" s="370" t="s">
        <v>205</v>
      </c>
      <c r="F25" s="370" t="s">
        <v>205</v>
      </c>
      <c r="G25" s="394">
        <v>1000</v>
      </c>
      <c r="H25" s="380">
        <v>1000</v>
      </c>
    </row>
    <row r="26" spans="1:10" s="6" customFormat="1" ht="34.049999999999997" customHeight="1">
      <c r="A26" s="185" t="s">
        <v>276</v>
      </c>
      <c r="B26" s="229" t="s">
        <v>392</v>
      </c>
      <c r="C26" s="230" t="s">
        <v>204</v>
      </c>
      <c r="D26" s="372" t="s">
        <v>205</v>
      </c>
      <c r="E26" s="373" t="s">
        <v>205</v>
      </c>
      <c r="F26" s="373" t="s">
        <v>205</v>
      </c>
      <c r="G26" s="395">
        <v>1000</v>
      </c>
      <c r="H26" s="249">
        <v>1000</v>
      </c>
    </row>
    <row r="27" spans="1:10" s="324" customFormat="1" ht="34.049999999999997" customHeight="1">
      <c r="A27" s="335" t="s">
        <v>354</v>
      </c>
      <c r="B27" s="331"/>
      <c r="C27" s="332"/>
      <c r="D27" s="333" t="s">
        <v>205</v>
      </c>
      <c r="E27" s="334" t="s">
        <v>205</v>
      </c>
      <c r="F27" s="334" t="s">
        <v>205</v>
      </c>
      <c r="G27" s="363">
        <v>4000</v>
      </c>
      <c r="H27" s="343">
        <v>4000</v>
      </c>
    </row>
    <row r="28" spans="1:10" s="400" customFormat="1" ht="34.049999999999997" customHeight="1">
      <c r="A28" s="405" t="s">
        <v>355</v>
      </c>
      <c r="B28" s="406"/>
      <c r="C28" s="407"/>
      <c r="D28" s="408">
        <v>10500</v>
      </c>
      <c r="E28" s="409">
        <v>9000</v>
      </c>
      <c r="F28" s="409">
        <v>6500</v>
      </c>
      <c r="G28" s="409">
        <v>4000</v>
      </c>
      <c r="H28" s="410">
        <v>30000</v>
      </c>
    </row>
    <row r="29" spans="1:10" s="6" customFormat="1" ht="15.75" customHeight="1" thickBot="1">
      <c r="A29" s="274" t="s">
        <v>277</v>
      </c>
      <c r="B29" s="262"/>
      <c r="C29" s="263"/>
      <c r="D29" s="263"/>
      <c r="E29" s="263"/>
      <c r="F29" s="263"/>
      <c r="G29" s="263"/>
      <c r="H29" s="264"/>
    </row>
    <row r="30" spans="1:10" s="284" customFormat="1" ht="15.75" customHeight="1" thickBot="1">
      <c r="A30" s="303" t="s">
        <v>334</v>
      </c>
      <c r="B30" s="302"/>
      <c r="C30" s="251"/>
      <c r="D30" s="251"/>
      <c r="E30" s="251"/>
      <c r="F30" s="251"/>
      <c r="G30" s="251"/>
      <c r="H30" s="227"/>
    </row>
    <row r="31" spans="1:10" s="6" customFormat="1" ht="25.95" customHeight="1" thickBot="1">
      <c r="A31" s="223" t="s">
        <v>278</v>
      </c>
      <c r="B31" s="257" t="s">
        <v>393</v>
      </c>
      <c r="C31" s="257" t="s">
        <v>204</v>
      </c>
      <c r="D31" s="359">
        <v>2000</v>
      </c>
      <c r="E31" s="359" t="s">
        <v>205</v>
      </c>
      <c r="F31" s="359" t="s">
        <v>205</v>
      </c>
      <c r="G31" s="359" t="s">
        <v>205</v>
      </c>
      <c r="H31" s="228">
        <v>2000</v>
      </c>
      <c r="J31" s="1"/>
    </row>
    <row r="32" spans="1:10" s="6" customFormat="1" ht="16.95" customHeight="1" thickBot="1">
      <c r="A32" s="223" t="s">
        <v>279</v>
      </c>
      <c r="B32" s="257" t="s">
        <v>394</v>
      </c>
      <c r="C32" s="257" t="s">
        <v>204</v>
      </c>
      <c r="D32" s="359">
        <v>2000</v>
      </c>
      <c r="E32" s="359" t="s">
        <v>205</v>
      </c>
      <c r="F32" s="359" t="s">
        <v>205</v>
      </c>
      <c r="G32" s="359" t="s">
        <v>205</v>
      </c>
      <c r="H32" s="228">
        <v>2000</v>
      </c>
      <c r="J32" s="1"/>
    </row>
    <row r="33" spans="1:8" s="6" customFormat="1" ht="16.05" customHeight="1" thickBot="1">
      <c r="A33" s="223" t="s">
        <v>280</v>
      </c>
      <c r="B33" s="414" t="s">
        <v>395</v>
      </c>
      <c r="C33" s="338" t="s">
        <v>204</v>
      </c>
      <c r="D33" s="338">
        <v>3500</v>
      </c>
      <c r="E33" s="338" t="s">
        <v>205</v>
      </c>
      <c r="F33" s="338" t="s">
        <v>205</v>
      </c>
      <c r="G33" s="338" t="s">
        <v>205</v>
      </c>
      <c r="H33" s="258">
        <v>3500</v>
      </c>
    </row>
    <row r="34" spans="1:8" s="324" customFormat="1" ht="16.05" customHeight="1">
      <c r="A34" s="339" t="s">
        <v>356</v>
      </c>
      <c r="B34" s="340"/>
      <c r="C34" s="341"/>
      <c r="D34" s="342">
        <v>7500</v>
      </c>
      <c r="E34" s="378" t="s">
        <v>205</v>
      </c>
      <c r="F34" s="378" t="s">
        <v>205</v>
      </c>
      <c r="G34" s="378" t="s">
        <v>205</v>
      </c>
      <c r="H34" s="343">
        <v>7500</v>
      </c>
    </row>
    <row r="35" spans="1:8" s="284" customFormat="1" ht="16.05" customHeight="1" thickBot="1">
      <c r="A35" s="306" t="s">
        <v>335</v>
      </c>
      <c r="B35" s="304"/>
      <c r="C35" s="304"/>
      <c r="D35" s="305"/>
      <c r="E35" s="305"/>
      <c r="F35" s="305"/>
      <c r="G35" s="305"/>
      <c r="H35" s="252"/>
    </row>
    <row r="36" spans="1:8" s="6" customFormat="1" ht="18" customHeight="1">
      <c r="A36" s="223" t="s">
        <v>396</v>
      </c>
      <c r="B36" s="259" t="s">
        <v>397</v>
      </c>
      <c r="C36" s="260" t="s">
        <v>204</v>
      </c>
      <c r="D36" s="261" t="s">
        <v>205</v>
      </c>
      <c r="E36" s="261">
        <v>3000</v>
      </c>
      <c r="F36" s="261" t="s">
        <v>205</v>
      </c>
      <c r="G36" s="261" t="s">
        <v>205</v>
      </c>
      <c r="H36" s="385">
        <v>3000</v>
      </c>
    </row>
    <row r="37" spans="1:8" s="6" customFormat="1" ht="17.25" customHeight="1">
      <c r="A37" s="223" t="s">
        <v>281</v>
      </c>
      <c r="B37" s="57" t="s">
        <v>398</v>
      </c>
      <c r="C37" s="36" t="s">
        <v>204</v>
      </c>
      <c r="D37" s="240" t="s">
        <v>205</v>
      </c>
      <c r="E37" s="26">
        <v>3000</v>
      </c>
      <c r="F37" s="240" t="s">
        <v>205</v>
      </c>
      <c r="G37" s="240" t="s">
        <v>205</v>
      </c>
      <c r="H37" s="380">
        <v>3000</v>
      </c>
    </row>
    <row r="38" spans="1:8" s="324" customFormat="1" ht="17.25" customHeight="1">
      <c r="A38" s="344" t="s">
        <v>357</v>
      </c>
      <c r="B38" s="330"/>
      <c r="C38" s="345"/>
      <c r="D38" s="346" t="s">
        <v>205</v>
      </c>
      <c r="E38" s="382">
        <v>6000</v>
      </c>
      <c r="F38" s="346" t="s">
        <v>205</v>
      </c>
      <c r="G38" s="346" t="s">
        <v>205</v>
      </c>
      <c r="H38" s="362">
        <v>6000</v>
      </c>
    </row>
    <row r="39" spans="1:8" s="284" customFormat="1" ht="17.25" customHeight="1" thickBot="1">
      <c r="A39" s="226" t="s">
        <v>336</v>
      </c>
      <c r="B39" s="233"/>
      <c r="C39" s="234"/>
      <c r="D39" s="235"/>
      <c r="E39" s="235"/>
      <c r="F39" s="235"/>
      <c r="G39" s="235"/>
      <c r="H39" s="386"/>
    </row>
    <row r="40" spans="1:8" s="6" customFormat="1" ht="16.95" customHeight="1" thickBot="1">
      <c r="A40" s="126" t="s">
        <v>282</v>
      </c>
      <c r="B40" s="238" t="s">
        <v>399</v>
      </c>
      <c r="C40" s="239" t="s">
        <v>204</v>
      </c>
      <c r="D40" s="240" t="s">
        <v>205</v>
      </c>
      <c r="E40" s="240" t="s">
        <v>205</v>
      </c>
      <c r="F40" s="240">
        <v>2000</v>
      </c>
      <c r="G40" s="240" t="s">
        <v>205</v>
      </c>
      <c r="H40" s="387">
        <v>2000</v>
      </c>
    </row>
    <row r="41" spans="1:8" s="6" customFormat="1" ht="16.95" customHeight="1" thickBot="1">
      <c r="A41" s="126" t="s">
        <v>283</v>
      </c>
      <c r="B41" s="238" t="s">
        <v>400</v>
      </c>
      <c r="C41" s="239" t="s">
        <v>204</v>
      </c>
      <c r="D41" s="240" t="s">
        <v>205</v>
      </c>
      <c r="E41" s="240" t="s">
        <v>205</v>
      </c>
      <c r="F41" s="240">
        <v>2000</v>
      </c>
      <c r="G41" s="240" t="s">
        <v>205</v>
      </c>
      <c r="H41" s="387">
        <v>2000</v>
      </c>
    </row>
    <row r="42" spans="1:8" s="6" customFormat="1" ht="34.950000000000003" customHeight="1" thickBot="1">
      <c r="A42" s="126" t="s">
        <v>284</v>
      </c>
      <c r="B42" s="57" t="s">
        <v>401</v>
      </c>
      <c r="C42" s="36" t="s">
        <v>204</v>
      </c>
      <c r="D42" s="240" t="s">
        <v>205</v>
      </c>
      <c r="E42" s="240" t="s">
        <v>205</v>
      </c>
      <c r="F42" s="26">
        <v>2000</v>
      </c>
      <c r="G42" s="240" t="s">
        <v>205</v>
      </c>
      <c r="H42" s="380">
        <v>2000</v>
      </c>
    </row>
    <row r="43" spans="1:8" s="324" customFormat="1" ht="34.950000000000003" customHeight="1" thickBot="1">
      <c r="A43" s="347" t="s">
        <v>358</v>
      </c>
      <c r="B43" s="330"/>
      <c r="C43" s="348"/>
      <c r="D43" s="349" t="s">
        <v>205</v>
      </c>
      <c r="E43" s="349" t="s">
        <v>205</v>
      </c>
      <c r="F43" s="383">
        <v>6000</v>
      </c>
      <c r="G43" s="349" t="s">
        <v>205</v>
      </c>
      <c r="H43" s="384">
        <v>6000</v>
      </c>
    </row>
    <row r="44" spans="1:8" s="284" customFormat="1" ht="34.950000000000003" customHeight="1" thickBot="1">
      <c r="A44" s="236" t="s">
        <v>337</v>
      </c>
      <c r="B44" s="233"/>
      <c r="C44" s="307"/>
      <c r="D44" s="308"/>
      <c r="E44" s="308"/>
      <c r="F44" s="308"/>
      <c r="G44" s="308"/>
      <c r="H44" s="388"/>
    </row>
    <row r="45" spans="1:8" s="6" customFormat="1" ht="34.950000000000003" customHeight="1" thickBot="1">
      <c r="A45" s="126" t="s">
        <v>285</v>
      </c>
      <c r="B45" s="57" t="s">
        <v>402</v>
      </c>
      <c r="C45" s="125" t="s">
        <v>204</v>
      </c>
      <c r="D45" s="374" t="s">
        <v>205</v>
      </c>
      <c r="E45" s="374" t="s">
        <v>205</v>
      </c>
      <c r="F45" s="374" t="s">
        <v>205</v>
      </c>
      <c r="G45" s="94">
        <v>2000</v>
      </c>
      <c r="H45" s="389">
        <v>2000</v>
      </c>
    </row>
    <row r="46" spans="1:8" s="6" customFormat="1" ht="34.950000000000003" customHeight="1" thickBot="1">
      <c r="A46" s="126" t="s">
        <v>286</v>
      </c>
      <c r="B46" s="57" t="s">
        <v>403</v>
      </c>
      <c r="C46" s="125" t="s">
        <v>204</v>
      </c>
      <c r="D46" s="374" t="s">
        <v>205</v>
      </c>
      <c r="E46" s="374" t="s">
        <v>205</v>
      </c>
      <c r="F46" s="374" t="s">
        <v>205</v>
      </c>
      <c r="G46" s="94">
        <v>2000</v>
      </c>
      <c r="H46" s="389">
        <v>2000</v>
      </c>
    </row>
    <row r="47" spans="1:8" s="6" customFormat="1" ht="34.950000000000003" customHeight="1" thickBot="1">
      <c r="A47" s="126" t="s">
        <v>287</v>
      </c>
      <c r="B47" s="57" t="s">
        <v>404</v>
      </c>
      <c r="C47" s="125" t="s">
        <v>204</v>
      </c>
      <c r="D47" s="374" t="s">
        <v>205</v>
      </c>
      <c r="E47" s="374" t="s">
        <v>205</v>
      </c>
      <c r="F47" s="374" t="s">
        <v>205</v>
      </c>
      <c r="G47" s="94">
        <v>1500</v>
      </c>
      <c r="H47" s="389">
        <v>1500</v>
      </c>
    </row>
    <row r="48" spans="1:8" s="324" customFormat="1" ht="34.950000000000003" customHeight="1" thickBot="1">
      <c r="A48" s="347" t="s">
        <v>359</v>
      </c>
      <c r="B48" s="330"/>
      <c r="C48" s="348"/>
      <c r="D48" s="350"/>
      <c r="E48" s="350"/>
      <c r="F48" s="350"/>
      <c r="G48" s="383">
        <v>5500</v>
      </c>
      <c r="H48" s="384">
        <v>5500</v>
      </c>
    </row>
    <row r="49" spans="1:8" s="400" customFormat="1" ht="17.25" customHeight="1">
      <c r="A49" s="396" t="s">
        <v>362</v>
      </c>
      <c r="B49" s="397"/>
      <c r="C49" s="398"/>
      <c r="D49" s="401">
        <v>7500</v>
      </c>
      <c r="E49" s="401">
        <v>6000</v>
      </c>
      <c r="F49" s="401">
        <v>6000</v>
      </c>
      <c r="G49" s="402">
        <v>5500</v>
      </c>
      <c r="H49" s="399">
        <v>25000</v>
      </c>
    </row>
    <row r="50" spans="1:8" s="6" customFormat="1" ht="17.25" customHeight="1" thickBot="1">
      <c r="A50" s="281" t="s">
        <v>288</v>
      </c>
      <c r="B50" s="276"/>
      <c r="C50" s="277"/>
      <c r="D50" s="278"/>
      <c r="E50" s="278"/>
      <c r="F50" s="278"/>
      <c r="G50" s="279"/>
      <c r="H50" s="280"/>
    </row>
    <row r="51" spans="1:8" s="284" customFormat="1" ht="17.25" customHeight="1" thickBot="1">
      <c r="A51" s="309" t="s">
        <v>338</v>
      </c>
      <c r="B51" s="237"/>
      <c r="C51" s="242"/>
      <c r="D51" s="234"/>
      <c r="E51" s="234"/>
      <c r="F51" s="234"/>
      <c r="G51" s="235"/>
      <c r="H51" s="243"/>
    </row>
    <row r="52" spans="1:8" s="6" customFormat="1" ht="17.25" customHeight="1" thickBot="1">
      <c r="A52" s="275" t="s">
        <v>289</v>
      </c>
      <c r="B52" s="244" t="s">
        <v>405</v>
      </c>
      <c r="C52" s="245" t="s">
        <v>204</v>
      </c>
      <c r="D52" s="239">
        <v>2000</v>
      </c>
      <c r="E52" s="239" t="s">
        <v>205</v>
      </c>
      <c r="F52" s="239" t="s">
        <v>205</v>
      </c>
      <c r="G52" s="240" t="s">
        <v>205</v>
      </c>
      <c r="H52" s="392">
        <v>2000</v>
      </c>
    </row>
    <row r="53" spans="1:8" s="6" customFormat="1" ht="17.25" customHeight="1" thickBot="1">
      <c r="A53" s="275" t="s">
        <v>290</v>
      </c>
      <c r="B53" s="244" t="s">
        <v>406</v>
      </c>
      <c r="C53" s="245" t="s">
        <v>204</v>
      </c>
      <c r="D53" s="239">
        <v>2000</v>
      </c>
      <c r="E53" s="239" t="s">
        <v>205</v>
      </c>
      <c r="F53" s="239" t="s">
        <v>205</v>
      </c>
      <c r="G53" s="240" t="s">
        <v>205</v>
      </c>
      <c r="H53" s="392">
        <v>2000</v>
      </c>
    </row>
    <row r="54" spans="1:8" s="6" customFormat="1" ht="17.25" customHeight="1" thickBot="1">
      <c r="A54" s="275" t="s">
        <v>291</v>
      </c>
      <c r="B54" s="244" t="s">
        <v>407</v>
      </c>
      <c r="C54" s="245" t="s">
        <v>204</v>
      </c>
      <c r="D54" s="239">
        <v>1500</v>
      </c>
      <c r="E54" s="239" t="s">
        <v>205</v>
      </c>
      <c r="F54" s="239" t="s">
        <v>205</v>
      </c>
      <c r="G54" s="240" t="s">
        <v>205</v>
      </c>
      <c r="H54" s="392">
        <v>1500</v>
      </c>
    </row>
    <row r="55" spans="1:8" s="324" customFormat="1" ht="17.25" customHeight="1" thickBot="1">
      <c r="A55" s="351" t="s">
        <v>360</v>
      </c>
      <c r="B55" s="352"/>
      <c r="C55" s="353"/>
      <c r="D55" s="390">
        <v>5500</v>
      </c>
      <c r="E55" s="345" t="s">
        <v>205</v>
      </c>
      <c r="F55" s="345" t="s">
        <v>205</v>
      </c>
      <c r="G55" s="346" t="s">
        <v>205</v>
      </c>
      <c r="H55" s="391">
        <v>5500</v>
      </c>
    </row>
    <row r="56" spans="1:8" s="284" customFormat="1" ht="17.25" customHeight="1" thickBot="1">
      <c r="A56" s="310" t="s">
        <v>339</v>
      </c>
      <c r="B56" s="237"/>
      <c r="C56" s="242"/>
      <c r="D56" s="234"/>
      <c r="E56" s="234"/>
      <c r="F56" s="234"/>
      <c r="G56" s="235"/>
      <c r="H56" s="243"/>
    </row>
    <row r="57" spans="1:8" s="6" customFormat="1" ht="17.25" customHeight="1" thickBot="1">
      <c r="A57" s="275" t="s">
        <v>292</v>
      </c>
      <c r="B57" s="244" t="s">
        <v>409</v>
      </c>
      <c r="C57" s="245" t="s">
        <v>204</v>
      </c>
      <c r="D57" s="239" t="s">
        <v>205</v>
      </c>
      <c r="E57" s="239">
        <v>2000</v>
      </c>
      <c r="F57" s="239" t="s">
        <v>205</v>
      </c>
      <c r="G57" s="240" t="s">
        <v>205</v>
      </c>
      <c r="H57" s="392">
        <v>2000</v>
      </c>
    </row>
    <row r="58" spans="1:8" s="6" customFormat="1" ht="17.25" customHeight="1" thickBot="1">
      <c r="A58" s="275" t="s">
        <v>293</v>
      </c>
      <c r="B58" s="244" t="s">
        <v>408</v>
      </c>
      <c r="C58" s="245" t="s">
        <v>204</v>
      </c>
      <c r="D58" s="239" t="s">
        <v>205</v>
      </c>
      <c r="E58" s="239">
        <v>2000</v>
      </c>
      <c r="F58" s="239" t="s">
        <v>205</v>
      </c>
      <c r="G58" s="240" t="s">
        <v>205</v>
      </c>
      <c r="H58" s="392">
        <v>2000</v>
      </c>
    </row>
    <row r="59" spans="1:8" s="6" customFormat="1" ht="17.25" customHeight="1" thickBot="1">
      <c r="A59" s="275" t="s">
        <v>294</v>
      </c>
      <c r="B59" s="244" t="s">
        <v>410</v>
      </c>
      <c r="C59" s="245" t="s">
        <v>204</v>
      </c>
      <c r="D59" s="239" t="s">
        <v>205</v>
      </c>
      <c r="E59" s="239">
        <v>1000</v>
      </c>
      <c r="F59" s="239" t="s">
        <v>205</v>
      </c>
      <c r="G59" s="240" t="s">
        <v>205</v>
      </c>
      <c r="H59" s="392">
        <v>1000</v>
      </c>
    </row>
    <row r="60" spans="1:8" s="324" customFormat="1" ht="17.25" customHeight="1" thickBot="1">
      <c r="A60" s="351" t="s">
        <v>361</v>
      </c>
      <c r="B60" s="352"/>
      <c r="C60" s="353"/>
      <c r="D60" s="345"/>
      <c r="E60" s="390">
        <v>5000</v>
      </c>
      <c r="F60" s="345" t="s">
        <v>205</v>
      </c>
      <c r="G60" s="346" t="s">
        <v>205</v>
      </c>
      <c r="H60" s="391">
        <v>5000</v>
      </c>
    </row>
    <row r="61" spans="1:8" s="284" customFormat="1" ht="17.25" customHeight="1" thickBot="1">
      <c r="A61" s="310" t="s">
        <v>340</v>
      </c>
      <c r="B61" s="237"/>
      <c r="C61" s="242"/>
      <c r="D61" s="234"/>
      <c r="E61" s="234"/>
      <c r="F61" s="234"/>
      <c r="G61" s="235"/>
      <c r="H61" s="243"/>
    </row>
    <row r="62" spans="1:8" s="6" customFormat="1" ht="17.25" customHeight="1" thickBot="1">
      <c r="A62" s="275" t="s">
        <v>295</v>
      </c>
      <c r="B62" s="244" t="s">
        <v>411</v>
      </c>
      <c r="C62" s="245" t="s">
        <v>204</v>
      </c>
      <c r="D62" s="239" t="s">
        <v>205</v>
      </c>
      <c r="E62" s="239" t="s">
        <v>205</v>
      </c>
      <c r="F62" s="239">
        <v>1500</v>
      </c>
      <c r="G62" s="240" t="s">
        <v>205</v>
      </c>
      <c r="H62" s="392">
        <v>1500</v>
      </c>
    </row>
    <row r="63" spans="1:8" s="6" customFormat="1" ht="17.25" customHeight="1" thickBot="1">
      <c r="A63" s="275" t="s">
        <v>296</v>
      </c>
      <c r="B63" s="244" t="s">
        <v>412</v>
      </c>
      <c r="C63" s="245" t="s">
        <v>204</v>
      </c>
      <c r="D63" s="239" t="s">
        <v>205</v>
      </c>
      <c r="E63" s="239" t="s">
        <v>205</v>
      </c>
      <c r="F63" s="239">
        <v>1500</v>
      </c>
      <c r="G63" s="240" t="s">
        <v>205</v>
      </c>
      <c r="H63" s="392">
        <v>1500</v>
      </c>
    </row>
    <row r="64" spans="1:8" s="6" customFormat="1" ht="17.25" customHeight="1" thickBot="1">
      <c r="A64" s="275" t="s">
        <v>297</v>
      </c>
      <c r="B64" s="244" t="s">
        <v>414</v>
      </c>
      <c r="C64" s="245" t="s">
        <v>204</v>
      </c>
      <c r="D64" s="239" t="s">
        <v>205</v>
      </c>
      <c r="E64" s="239" t="s">
        <v>205</v>
      </c>
      <c r="F64" s="239">
        <v>1500</v>
      </c>
      <c r="G64" s="240" t="s">
        <v>205</v>
      </c>
      <c r="H64" s="392">
        <v>1500</v>
      </c>
    </row>
    <row r="65" spans="1:8" s="324" customFormat="1" ht="17.25" customHeight="1" thickBot="1">
      <c r="A65" s="351" t="s">
        <v>363</v>
      </c>
      <c r="B65" s="352"/>
      <c r="C65" s="353"/>
      <c r="D65" s="345" t="s">
        <v>205</v>
      </c>
      <c r="E65" s="345" t="s">
        <v>205</v>
      </c>
      <c r="F65" s="390">
        <v>4500</v>
      </c>
      <c r="G65" s="346" t="s">
        <v>205</v>
      </c>
      <c r="H65" s="391">
        <v>4500</v>
      </c>
    </row>
    <row r="66" spans="1:8" s="284" customFormat="1" ht="17.25" customHeight="1" thickBot="1">
      <c r="A66" s="310" t="s">
        <v>341</v>
      </c>
      <c r="B66" s="237"/>
      <c r="C66" s="242"/>
      <c r="D66" s="234"/>
      <c r="E66" s="234"/>
      <c r="F66" s="234"/>
      <c r="G66" s="235"/>
      <c r="H66" s="243"/>
    </row>
    <row r="67" spans="1:8" s="6" customFormat="1" ht="17.25" customHeight="1" thickBot="1">
      <c r="A67" s="275" t="s">
        <v>298</v>
      </c>
      <c r="B67" s="244" t="s">
        <v>413</v>
      </c>
      <c r="C67" s="245" t="s">
        <v>204</v>
      </c>
      <c r="D67" s="239" t="s">
        <v>205</v>
      </c>
      <c r="E67" s="239" t="s">
        <v>205</v>
      </c>
      <c r="F67" s="239" t="s">
        <v>205</v>
      </c>
      <c r="G67" s="240">
        <v>2000</v>
      </c>
      <c r="H67" s="20">
        <v>2000</v>
      </c>
    </row>
    <row r="68" spans="1:8" s="6" customFormat="1" ht="17.25" customHeight="1" thickBot="1">
      <c r="A68" s="275" t="s">
        <v>299</v>
      </c>
      <c r="B68" s="244" t="s">
        <v>415</v>
      </c>
      <c r="C68" s="245" t="s">
        <v>204</v>
      </c>
      <c r="D68" s="239" t="s">
        <v>205</v>
      </c>
      <c r="E68" s="239" t="s">
        <v>205</v>
      </c>
      <c r="F68" s="239" t="s">
        <v>205</v>
      </c>
      <c r="G68" s="240">
        <v>2000</v>
      </c>
      <c r="H68" s="246">
        <v>2000</v>
      </c>
    </row>
    <row r="69" spans="1:8" s="6" customFormat="1" ht="17.25" customHeight="1" thickBot="1">
      <c r="A69" s="275" t="s">
        <v>300</v>
      </c>
      <c r="B69" s="244" t="s">
        <v>416</v>
      </c>
      <c r="C69" s="245" t="s">
        <v>204</v>
      </c>
      <c r="D69" s="239" t="s">
        <v>205</v>
      </c>
      <c r="E69" s="239" t="s">
        <v>205</v>
      </c>
      <c r="F69" s="239" t="s">
        <v>205</v>
      </c>
      <c r="G69" s="240">
        <v>1500</v>
      </c>
      <c r="H69" s="246">
        <v>1500</v>
      </c>
    </row>
    <row r="70" spans="1:8" s="324" customFormat="1" ht="17.25" customHeight="1" thickBot="1">
      <c r="A70" s="355" t="s">
        <v>364</v>
      </c>
      <c r="B70" s="352"/>
      <c r="C70" s="353"/>
      <c r="D70" s="345" t="s">
        <v>205</v>
      </c>
      <c r="E70" s="345" t="s">
        <v>205</v>
      </c>
      <c r="F70" s="345" t="s">
        <v>205</v>
      </c>
      <c r="G70" s="382">
        <v>5500</v>
      </c>
      <c r="H70" s="391">
        <v>5500</v>
      </c>
    </row>
    <row r="71" spans="1:8" s="400" customFormat="1" ht="17.25" customHeight="1">
      <c r="A71" s="396" t="s">
        <v>375</v>
      </c>
      <c r="B71" s="397"/>
      <c r="C71" s="398"/>
      <c r="D71" s="401">
        <v>5500</v>
      </c>
      <c r="E71" s="401">
        <v>5000</v>
      </c>
      <c r="F71" s="401">
        <v>4500</v>
      </c>
      <c r="G71" s="402">
        <v>5500</v>
      </c>
      <c r="H71" s="399">
        <v>20500</v>
      </c>
    </row>
    <row r="72" spans="1:8" s="285" customFormat="1" ht="17.25" customHeight="1" thickBot="1">
      <c r="A72" s="273" t="s">
        <v>301</v>
      </c>
      <c r="B72" s="276"/>
      <c r="C72" s="277"/>
      <c r="D72" s="278"/>
      <c r="E72" s="278"/>
      <c r="F72" s="278"/>
      <c r="G72" s="279"/>
      <c r="H72" s="280"/>
    </row>
    <row r="73" spans="1:8" s="284" customFormat="1" ht="17.25" customHeight="1" thickBot="1">
      <c r="A73" s="318" t="s">
        <v>342</v>
      </c>
      <c r="B73" s="237"/>
      <c r="C73" s="242"/>
      <c r="D73" s="234"/>
      <c r="E73" s="234"/>
      <c r="F73" s="234"/>
      <c r="G73" s="235"/>
      <c r="H73" s="243"/>
    </row>
    <row r="74" spans="1:8" s="6" customFormat="1" ht="17.25" customHeight="1" thickBot="1">
      <c r="A74" s="275" t="s">
        <v>302</v>
      </c>
      <c r="B74" s="244" t="s">
        <v>417</v>
      </c>
      <c r="C74" s="245" t="s">
        <v>204</v>
      </c>
      <c r="D74" s="239">
        <v>3000</v>
      </c>
      <c r="E74" s="239" t="s">
        <v>205</v>
      </c>
      <c r="F74" s="239" t="s">
        <v>205</v>
      </c>
      <c r="G74" s="240" t="s">
        <v>205</v>
      </c>
      <c r="H74" s="246">
        <v>3000</v>
      </c>
    </row>
    <row r="75" spans="1:8" s="6" customFormat="1" ht="17.25" customHeight="1" thickBot="1">
      <c r="A75" s="275" t="s">
        <v>303</v>
      </c>
      <c r="B75" s="244" t="s">
        <v>418</v>
      </c>
      <c r="C75" s="245" t="s">
        <v>204</v>
      </c>
      <c r="D75" s="239">
        <v>3000</v>
      </c>
      <c r="E75" s="239" t="s">
        <v>205</v>
      </c>
      <c r="F75" s="239" t="s">
        <v>205</v>
      </c>
      <c r="G75" s="240" t="s">
        <v>205</v>
      </c>
      <c r="H75" s="246">
        <v>3000</v>
      </c>
    </row>
    <row r="76" spans="1:8" s="6" customFormat="1" ht="17.25" customHeight="1" thickBot="1">
      <c r="A76" s="275" t="s">
        <v>304</v>
      </c>
      <c r="B76" s="244" t="s">
        <v>419</v>
      </c>
      <c r="C76" s="245" t="s">
        <v>204</v>
      </c>
      <c r="D76" s="239">
        <v>3500</v>
      </c>
      <c r="E76" s="239" t="s">
        <v>205</v>
      </c>
      <c r="F76" s="239" t="s">
        <v>205</v>
      </c>
      <c r="G76" s="240" t="s">
        <v>205</v>
      </c>
      <c r="H76" s="246">
        <v>5000</v>
      </c>
    </row>
    <row r="77" spans="1:8" s="324" customFormat="1" ht="17.25" customHeight="1" thickBot="1">
      <c r="A77" s="351" t="s">
        <v>365</v>
      </c>
      <c r="B77" s="352"/>
      <c r="C77" s="353"/>
      <c r="D77" s="390">
        <v>9500</v>
      </c>
      <c r="E77" s="345" t="s">
        <v>205</v>
      </c>
      <c r="F77" s="345" t="s">
        <v>205</v>
      </c>
      <c r="G77" s="346" t="s">
        <v>205</v>
      </c>
      <c r="H77" s="354"/>
    </row>
    <row r="78" spans="1:8" s="284" customFormat="1" ht="17.25" customHeight="1" thickBot="1">
      <c r="A78" s="310" t="s">
        <v>343</v>
      </c>
      <c r="B78" s="237"/>
      <c r="C78" s="242"/>
      <c r="D78" s="234"/>
      <c r="E78" s="234"/>
      <c r="F78" s="234"/>
      <c r="G78" s="235"/>
      <c r="H78" s="243"/>
    </row>
    <row r="79" spans="1:8" s="6" customFormat="1" ht="17.25" customHeight="1" thickBot="1">
      <c r="A79" s="275" t="s">
        <v>305</v>
      </c>
      <c r="B79" s="244" t="s">
        <v>420</v>
      </c>
      <c r="C79" s="245" t="s">
        <v>204</v>
      </c>
      <c r="D79" s="239" t="s">
        <v>205</v>
      </c>
      <c r="E79" s="239">
        <v>3000</v>
      </c>
      <c r="F79" s="239" t="s">
        <v>205</v>
      </c>
      <c r="G79" s="240" t="s">
        <v>205</v>
      </c>
      <c r="H79" s="246">
        <v>3000</v>
      </c>
    </row>
    <row r="80" spans="1:8" s="6" customFormat="1" ht="17.25" customHeight="1" thickBot="1">
      <c r="A80" s="275" t="s">
        <v>306</v>
      </c>
      <c r="B80" s="244" t="s">
        <v>421</v>
      </c>
      <c r="C80" s="245" t="s">
        <v>204</v>
      </c>
      <c r="D80" s="239" t="s">
        <v>205</v>
      </c>
      <c r="E80" s="239">
        <v>3000</v>
      </c>
      <c r="F80" s="239" t="s">
        <v>205</v>
      </c>
      <c r="G80" s="240" t="s">
        <v>205</v>
      </c>
      <c r="H80" s="246">
        <v>3000</v>
      </c>
    </row>
    <row r="81" spans="1:8" s="6" customFormat="1" ht="17.25" customHeight="1" thickBot="1">
      <c r="A81" s="275" t="s">
        <v>307</v>
      </c>
      <c r="B81" s="244" t="s">
        <v>422</v>
      </c>
      <c r="C81" s="245" t="s">
        <v>204</v>
      </c>
      <c r="D81" s="239" t="s">
        <v>205</v>
      </c>
      <c r="E81" s="239">
        <v>3000</v>
      </c>
      <c r="F81" s="239" t="s">
        <v>205</v>
      </c>
      <c r="G81" s="240" t="s">
        <v>205</v>
      </c>
      <c r="H81" s="246">
        <v>3000</v>
      </c>
    </row>
    <row r="82" spans="1:8" s="324" customFormat="1" ht="17.25" customHeight="1" thickBot="1">
      <c r="A82" s="351" t="s">
        <v>366</v>
      </c>
      <c r="B82" s="352"/>
      <c r="C82" s="353"/>
      <c r="D82" s="345" t="s">
        <v>205</v>
      </c>
      <c r="E82" s="390">
        <v>9000</v>
      </c>
      <c r="F82" s="345" t="s">
        <v>205</v>
      </c>
      <c r="G82" s="346" t="s">
        <v>205</v>
      </c>
      <c r="H82" s="391">
        <v>9000</v>
      </c>
    </row>
    <row r="83" spans="1:8" s="284" customFormat="1" ht="17.25" customHeight="1" thickBot="1">
      <c r="A83" s="310" t="s">
        <v>344</v>
      </c>
      <c r="B83" s="237"/>
      <c r="C83" s="242"/>
      <c r="D83" s="234"/>
      <c r="E83" s="234"/>
      <c r="F83" s="234"/>
      <c r="G83" s="235"/>
      <c r="H83" s="243"/>
    </row>
    <row r="84" spans="1:8" s="6" customFormat="1" ht="17.25" customHeight="1" thickBot="1">
      <c r="A84" s="275" t="s">
        <v>308</v>
      </c>
      <c r="B84" s="244" t="s">
        <v>423</v>
      </c>
      <c r="C84" s="245" t="s">
        <v>204</v>
      </c>
      <c r="D84" s="239" t="s">
        <v>205</v>
      </c>
      <c r="E84" s="239" t="s">
        <v>205</v>
      </c>
      <c r="F84" s="239">
        <v>3000</v>
      </c>
      <c r="G84" s="240" t="s">
        <v>205</v>
      </c>
      <c r="H84" s="246">
        <v>3000</v>
      </c>
    </row>
    <row r="85" spans="1:8" s="6" customFormat="1" ht="17.25" customHeight="1" thickBot="1">
      <c r="A85" s="275" t="s">
        <v>309</v>
      </c>
      <c r="B85" s="244" t="s">
        <v>424</v>
      </c>
      <c r="C85" s="245" t="s">
        <v>204</v>
      </c>
      <c r="D85" s="239" t="s">
        <v>205</v>
      </c>
      <c r="E85" s="239" t="s">
        <v>205</v>
      </c>
      <c r="F85" s="239">
        <v>2500</v>
      </c>
      <c r="G85" s="240" t="s">
        <v>205</v>
      </c>
      <c r="H85" s="246">
        <v>2500</v>
      </c>
    </row>
    <row r="86" spans="1:8" s="6" customFormat="1" ht="17.25" customHeight="1" thickBot="1">
      <c r="A86" s="275" t="s">
        <v>310</v>
      </c>
      <c r="B86" s="244" t="s">
        <v>425</v>
      </c>
      <c r="C86" s="245" t="s">
        <v>204</v>
      </c>
      <c r="D86" s="239" t="s">
        <v>205</v>
      </c>
      <c r="E86" s="239" t="s">
        <v>205</v>
      </c>
      <c r="F86" s="239">
        <v>3000</v>
      </c>
      <c r="G86" s="240" t="s">
        <v>205</v>
      </c>
      <c r="H86" s="246">
        <v>3000</v>
      </c>
    </row>
    <row r="87" spans="1:8" s="324" customFormat="1" ht="17.25" customHeight="1" thickBot="1">
      <c r="A87" s="351" t="s">
        <v>367</v>
      </c>
      <c r="B87" s="352"/>
      <c r="C87" s="353"/>
      <c r="D87" s="345" t="s">
        <v>205</v>
      </c>
      <c r="E87" s="345" t="s">
        <v>205</v>
      </c>
      <c r="F87" s="390">
        <v>8500</v>
      </c>
      <c r="G87" s="346" t="s">
        <v>205</v>
      </c>
      <c r="H87" s="391">
        <v>8500</v>
      </c>
    </row>
    <row r="88" spans="1:8" s="284" customFormat="1" ht="17.25" customHeight="1" thickBot="1">
      <c r="A88" s="310" t="s">
        <v>345</v>
      </c>
      <c r="B88" s="237"/>
      <c r="C88" s="242"/>
      <c r="D88" s="234"/>
      <c r="E88" s="234"/>
      <c r="F88" s="234"/>
      <c r="G88" s="235"/>
      <c r="H88" s="243"/>
    </row>
    <row r="89" spans="1:8" s="6" customFormat="1" ht="17.25" customHeight="1" thickBot="1">
      <c r="A89" s="275" t="s">
        <v>311</v>
      </c>
      <c r="B89" s="244" t="s">
        <v>426</v>
      </c>
      <c r="C89" s="245" t="s">
        <v>204</v>
      </c>
      <c r="D89" s="239" t="s">
        <v>205</v>
      </c>
      <c r="E89" s="239" t="s">
        <v>205</v>
      </c>
      <c r="F89" s="239" t="s">
        <v>205</v>
      </c>
      <c r="G89" s="240">
        <v>2000</v>
      </c>
      <c r="H89" s="246">
        <v>2000</v>
      </c>
    </row>
    <row r="90" spans="1:8" s="6" customFormat="1" ht="17.25" customHeight="1" thickBot="1">
      <c r="A90" s="275" t="s">
        <v>312</v>
      </c>
      <c r="B90" s="244" t="s">
        <v>416</v>
      </c>
      <c r="C90" s="245" t="s">
        <v>204</v>
      </c>
      <c r="D90" s="239" t="s">
        <v>205</v>
      </c>
      <c r="E90" s="239" t="s">
        <v>205</v>
      </c>
      <c r="F90" s="239" t="s">
        <v>205</v>
      </c>
      <c r="G90" s="240">
        <v>3000</v>
      </c>
      <c r="H90" s="246">
        <v>3000</v>
      </c>
    </row>
    <row r="91" spans="1:8" s="6" customFormat="1" ht="17.25" customHeight="1" thickBot="1">
      <c r="A91" s="241" t="s">
        <v>313</v>
      </c>
      <c r="B91" s="219" t="s">
        <v>427</v>
      </c>
      <c r="C91" s="144" t="s">
        <v>204</v>
      </c>
      <c r="D91" s="239" t="s">
        <v>205</v>
      </c>
      <c r="E91" s="239" t="s">
        <v>205</v>
      </c>
      <c r="F91" s="239" t="s">
        <v>205</v>
      </c>
      <c r="G91" s="26">
        <v>3000</v>
      </c>
      <c r="H91" s="216">
        <v>3000</v>
      </c>
    </row>
    <row r="92" spans="1:8" s="324" customFormat="1" ht="17.25" customHeight="1" thickBot="1">
      <c r="A92" s="356" t="s">
        <v>368</v>
      </c>
      <c r="B92" s="352"/>
      <c r="C92" s="353"/>
      <c r="D92" s="345" t="s">
        <v>205</v>
      </c>
      <c r="E92" s="345" t="s">
        <v>205</v>
      </c>
      <c r="F92" s="345" t="s">
        <v>205</v>
      </c>
      <c r="G92" s="382">
        <v>8000</v>
      </c>
      <c r="H92" s="391">
        <v>8000</v>
      </c>
    </row>
    <row r="93" spans="1:8" s="400" customFormat="1" ht="17.25" customHeight="1">
      <c r="A93" s="396" t="s">
        <v>374</v>
      </c>
      <c r="B93" s="397"/>
      <c r="C93" s="398"/>
      <c r="D93" s="401">
        <v>9500</v>
      </c>
      <c r="E93" s="401">
        <v>9000</v>
      </c>
      <c r="F93" s="401">
        <v>8500</v>
      </c>
      <c r="G93" s="402">
        <v>8000</v>
      </c>
      <c r="H93" s="399">
        <v>35000</v>
      </c>
    </row>
    <row r="94" spans="1:8" s="6" customFormat="1" ht="17.25" customHeight="1" thickBot="1">
      <c r="A94" s="273" t="s">
        <v>327</v>
      </c>
      <c r="B94" s="276"/>
      <c r="C94" s="277"/>
      <c r="D94" s="278"/>
      <c r="E94" s="278"/>
      <c r="F94" s="278"/>
      <c r="G94" s="279"/>
      <c r="H94" s="280"/>
    </row>
    <row r="95" spans="1:8" s="284" customFormat="1" ht="17.25" customHeight="1" thickBot="1">
      <c r="A95" s="318" t="s">
        <v>346</v>
      </c>
      <c r="B95" s="237"/>
      <c r="C95" s="242"/>
      <c r="D95" s="234"/>
      <c r="E95" s="234"/>
      <c r="F95" s="234"/>
      <c r="G95" s="235"/>
      <c r="H95" s="243"/>
    </row>
    <row r="96" spans="1:8" s="6" customFormat="1" ht="17.25" customHeight="1" thickBot="1">
      <c r="A96" s="241" t="s">
        <v>314</v>
      </c>
      <c r="B96" s="219" t="s">
        <v>428</v>
      </c>
      <c r="C96" s="144" t="s">
        <v>204</v>
      </c>
      <c r="D96" s="36">
        <v>2000</v>
      </c>
      <c r="E96" s="239" t="s">
        <v>205</v>
      </c>
      <c r="F96" s="239" t="s">
        <v>205</v>
      </c>
      <c r="G96" s="240" t="s">
        <v>205</v>
      </c>
      <c r="H96" s="216">
        <v>2000</v>
      </c>
    </row>
    <row r="97" spans="1:8" s="6" customFormat="1" ht="17.25" customHeight="1" thickBot="1">
      <c r="A97" s="241" t="s">
        <v>315</v>
      </c>
      <c r="B97" s="219" t="s">
        <v>429</v>
      </c>
      <c r="C97" s="144" t="s">
        <v>204</v>
      </c>
      <c r="D97" s="36">
        <v>1500</v>
      </c>
      <c r="E97" s="239" t="s">
        <v>205</v>
      </c>
      <c r="F97" s="239" t="s">
        <v>205</v>
      </c>
      <c r="G97" s="240" t="s">
        <v>205</v>
      </c>
      <c r="H97" s="216">
        <v>1500</v>
      </c>
    </row>
    <row r="98" spans="1:8" s="6" customFormat="1" ht="17.25" customHeight="1" thickBot="1">
      <c r="A98" s="241" t="s">
        <v>316</v>
      </c>
      <c r="B98" s="219" t="s">
        <v>430</v>
      </c>
      <c r="C98" s="144" t="s">
        <v>204</v>
      </c>
      <c r="D98" s="36">
        <v>1500</v>
      </c>
      <c r="E98" s="239" t="s">
        <v>205</v>
      </c>
      <c r="F98" s="239" t="s">
        <v>205</v>
      </c>
      <c r="G98" s="240" t="s">
        <v>205</v>
      </c>
      <c r="H98" s="216">
        <v>1500</v>
      </c>
    </row>
    <row r="99" spans="1:8" s="324" customFormat="1" ht="17.25" customHeight="1" thickBot="1">
      <c r="A99" s="357" t="s">
        <v>369</v>
      </c>
      <c r="B99" s="352"/>
      <c r="C99" s="353"/>
      <c r="D99" s="390">
        <v>5000</v>
      </c>
      <c r="E99" s="345" t="s">
        <v>205</v>
      </c>
      <c r="F99" s="345" t="s">
        <v>205</v>
      </c>
      <c r="G99" s="346" t="s">
        <v>205</v>
      </c>
      <c r="H99" s="391">
        <v>5000</v>
      </c>
    </row>
    <row r="100" spans="1:8" s="284" customFormat="1" ht="17.25" customHeight="1" thickBot="1">
      <c r="A100" s="319" t="s">
        <v>347</v>
      </c>
      <c r="B100" s="237"/>
      <c r="C100" s="242"/>
      <c r="D100" s="234"/>
      <c r="E100" s="234"/>
      <c r="F100" s="234"/>
      <c r="G100" s="235"/>
      <c r="H100" s="243"/>
    </row>
    <row r="101" spans="1:8" s="6" customFormat="1" ht="17.25" customHeight="1" thickBot="1">
      <c r="A101" s="241" t="s">
        <v>317</v>
      </c>
      <c r="B101" s="219" t="s">
        <v>431</v>
      </c>
      <c r="C101" s="144" t="s">
        <v>204</v>
      </c>
      <c r="D101" s="239" t="s">
        <v>205</v>
      </c>
      <c r="E101" s="36">
        <v>1500</v>
      </c>
      <c r="F101" s="239" t="s">
        <v>205</v>
      </c>
      <c r="G101" s="240" t="s">
        <v>205</v>
      </c>
      <c r="H101" s="216">
        <v>1500</v>
      </c>
    </row>
    <row r="102" spans="1:8" s="6" customFormat="1" ht="17.25" customHeight="1" thickBot="1">
      <c r="A102" s="241" t="s">
        <v>318</v>
      </c>
      <c r="B102" s="219" t="s">
        <v>430</v>
      </c>
      <c r="C102" s="144" t="s">
        <v>204</v>
      </c>
      <c r="D102" s="239" t="s">
        <v>205</v>
      </c>
      <c r="E102" s="36">
        <v>2000</v>
      </c>
      <c r="F102" s="239" t="s">
        <v>205</v>
      </c>
      <c r="G102" s="240" t="s">
        <v>205</v>
      </c>
      <c r="H102" s="216">
        <v>2000</v>
      </c>
    </row>
    <row r="103" spans="1:8" s="6" customFormat="1" ht="17.25" customHeight="1" thickBot="1">
      <c r="A103" s="241" t="s">
        <v>319</v>
      </c>
      <c r="B103" s="219" t="s">
        <v>432</v>
      </c>
      <c r="C103" s="144" t="s">
        <v>204</v>
      </c>
      <c r="D103" s="239" t="s">
        <v>205</v>
      </c>
      <c r="E103" s="36">
        <v>2000</v>
      </c>
      <c r="F103" s="239" t="s">
        <v>205</v>
      </c>
      <c r="G103" s="240" t="s">
        <v>205</v>
      </c>
      <c r="H103" s="216">
        <v>2000</v>
      </c>
    </row>
    <row r="104" spans="1:8" s="324" customFormat="1" ht="17.25" customHeight="1" thickBot="1">
      <c r="A104" s="357" t="s">
        <v>370</v>
      </c>
      <c r="B104" s="352"/>
      <c r="C104" s="353"/>
      <c r="D104" s="345" t="s">
        <v>205</v>
      </c>
      <c r="E104" s="390">
        <v>5500</v>
      </c>
      <c r="F104" s="345" t="s">
        <v>205</v>
      </c>
      <c r="G104" s="346" t="s">
        <v>205</v>
      </c>
      <c r="H104" s="391">
        <v>5500</v>
      </c>
    </row>
    <row r="105" spans="1:8" s="284" customFormat="1" ht="17.25" customHeight="1" thickBot="1">
      <c r="A105" s="319" t="s">
        <v>348</v>
      </c>
      <c r="B105" s="237"/>
      <c r="C105" s="242"/>
      <c r="D105" s="234"/>
      <c r="E105" s="234"/>
      <c r="F105" s="234"/>
      <c r="G105" s="235"/>
      <c r="H105" s="243"/>
    </row>
    <row r="106" spans="1:8" s="6" customFormat="1" ht="17.25" customHeight="1" thickBot="1">
      <c r="A106" s="241" t="s">
        <v>320</v>
      </c>
      <c r="B106" s="219" t="s">
        <v>430</v>
      </c>
      <c r="C106" s="144" t="s">
        <v>204</v>
      </c>
      <c r="D106" s="239" t="s">
        <v>205</v>
      </c>
      <c r="E106" s="239" t="s">
        <v>205</v>
      </c>
      <c r="F106" s="36">
        <v>1750</v>
      </c>
      <c r="G106" s="240" t="s">
        <v>205</v>
      </c>
      <c r="H106" s="216">
        <v>1750</v>
      </c>
    </row>
    <row r="107" spans="1:8" s="6" customFormat="1" ht="17.25" customHeight="1" thickBot="1">
      <c r="A107" s="241" t="s">
        <v>321</v>
      </c>
      <c r="B107" s="219" t="s">
        <v>430</v>
      </c>
      <c r="C107" s="144" t="s">
        <v>204</v>
      </c>
      <c r="D107" s="239" t="s">
        <v>205</v>
      </c>
      <c r="E107" s="239" t="s">
        <v>205</v>
      </c>
      <c r="F107" s="36">
        <v>1750</v>
      </c>
      <c r="G107" s="240" t="s">
        <v>205</v>
      </c>
      <c r="H107" s="216">
        <v>1750</v>
      </c>
    </row>
    <row r="108" spans="1:8" s="6" customFormat="1" ht="17.25" customHeight="1" thickBot="1">
      <c r="A108" s="241" t="s">
        <v>322</v>
      </c>
      <c r="B108" s="219" t="s">
        <v>433</v>
      </c>
      <c r="C108" s="144" t="s">
        <v>204</v>
      </c>
      <c r="D108" s="239" t="s">
        <v>205</v>
      </c>
      <c r="E108" s="239" t="s">
        <v>205</v>
      </c>
      <c r="F108" s="36">
        <v>1000</v>
      </c>
      <c r="G108" s="240" t="s">
        <v>205</v>
      </c>
      <c r="H108" s="216">
        <v>1000</v>
      </c>
    </row>
    <row r="109" spans="1:8" s="324" customFormat="1" ht="17.25" customHeight="1" thickBot="1">
      <c r="A109" s="357" t="s">
        <v>371</v>
      </c>
      <c r="B109" s="352"/>
      <c r="C109" s="353"/>
      <c r="D109" s="345" t="s">
        <v>205</v>
      </c>
      <c r="E109" s="345" t="s">
        <v>205</v>
      </c>
      <c r="F109" s="390">
        <v>4500</v>
      </c>
      <c r="G109" s="346" t="s">
        <v>205</v>
      </c>
      <c r="H109" s="391">
        <v>4500</v>
      </c>
    </row>
    <row r="110" spans="1:8" s="284" customFormat="1" ht="17.25" customHeight="1" thickBot="1">
      <c r="A110" s="319" t="s">
        <v>349</v>
      </c>
      <c r="B110" s="237"/>
      <c r="C110" s="242"/>
      <c r="D110" s="234"/>
      <c r="E110" s="234"/>
      <c r="F110" s="234"/>
      <c r="G110" s="235"/>
      <c r="H110" s="243"/>
    </row>
    <row r="111" spans="1:8" s="6" customFormat="1" ht="17.25" customHeight="1" thickBot="1">
      <c r="A111" s="241" t="s">
        <v>323</v>
      </c>
      <c r="B111" s="219" t="s">
        <v>434</v>
      </c>
      <c r="C111" s="144" t="s">
        <v>204</v>
      </c>
      <c r="D111" s="239" t="s">
        <v>205</v>
      </c>
      <c r="E111" s="239" t="s">
        <v>205</v>
      </c>
      <c r="F111" s="239" t="s">
        <v>205</v>
      </c>
      <c r="G111" s="26">
        <v>1000</v>
      </c>
      <c r="H111" s="216">
        <v>1000</v>
      </c>
    </row>
    <row r="112" spans="1:8" s="6" customFormat="1" ht="17.25" customHeight="1" thickBot="1">
      <c r="A112" s="241" t="s">
        <v>324</v>
      </c>
      <c r="B112" s="219" t="s">
        <v>435</v>
      </c>
      <c r="C112" s="144" t="s">
        <v>204</v>
      </c>
      <c r="D112" s="239" t="s">
        <v>205</v>
      </c>
      <c r="E112" s="239" t="s">
        <v>205</v>
      </c>
      <c r="F112" s="239" t="s">
        <v>205</v>
      </c>
      <c r="G112" s="26">
        <v>2000</v>
      </c>
      <c r="H112" s="216">
        <v>1000</v>
      </c>
    </row>
    <row r="113" spans="1:8" s="6" customFormat="1" ht="17.25" customHeight="1" thickBot="1">
      <c r="A113" s="241" t="s">
        <v>325</v>
      </c>
      <c r="B113" s="219" t="s">
        <v>430</v>
      </c>
      <c r="C113" s="144" t="s">
        <v>204</v>
      </c>
      <c r="D113" s="239" t="s">
        <v>205</v>
      </c>
      <c r="E113" s="239" t="s">
        <v>205</v>
      </c>
      <c r="F113" s="239" t="s">
        <v>205</v>
      </c>
      <c r="G113" s="26">
        <v>2000</v>
      </c>
      <c r="H113" s="216">
        <v>1000</v>
      </c>
    </row>
    <row r="114" spans="1:8" s="324" customFormat="1" ht="17.25" customHeight="1" thickBot="1">
      <c r="A114" s="358" t="s">
        <v>372</v>
      </c>
      <c r="B114" s="352"/>
      <c r="C114" s="353"/>
      <c r="D114" s="345" t="s">
        <v>205</v>
      </c>
      <c r="E114" s="345" t="s">
        <v>205</v>
      </c>
      <c r="F114" s="345" t="s">
        <v>205</v>
      </c>
      <c r="G114" s="382">
        <v>5000</v>
      </c>
      <c r="H114" s="391">
        <v>5000</v>
      </c>
    </row>
    <row r="115" spans="1:8" s="400" customFormat="1" ht="17.25" customHeight="1" thickBot="1">
      <c r="A115" s="403" t="s">
        <v>373</v>
      </c>
      <c r="B115" s="397"/>
      <c r="C115" s="398"/>
      <c r="D115" s="401">
        <v>5000</v>
      </c>
      <c r="E115" s="401">
        <v>5500</v>
      </c>
      <c r="F115" s="401">
        <v>4500</v>
      </c>
      <c r="G115" s="402">
        <v>5000</v>
      </c>
      <c r="H115" s="399">
        <v>20000</v>
      </c>
    </row>
    <row r="116" spans="1:8" s="317" customFormat="1" ht="17.25" customHeight="1" thickBot="1">
      <c r="A116" s="311"/>
      <c r="B116" s="312"/>
      <c r="C116" s="313"/>
      <c r="D116" s="314"/>
      <c r="E116" s="314"/>
      <c r="F116" s="314"/>
      <c r="G116" s="315"/>
      <c r="H116" s="316"/>
    </row>
    <row r="117" spans="1:8" s="400" customFormat="1" ht="17.25" customHeight="1" thickBot="1">
      <c r="A117" s="404" t="s">
        <v>376</v>
      </c>
      <c r="B117" s="397"/>
      <c r="C117" s="398"/>
      <c r="D117" s="401">
        <v>38000</v>
      </c>
      <c r="E117" s="401">
        <v>34500</v>
      </c>
      <c r="F117" s="401">
        <v>30000</v>
      </c>
      <c r="G117" s="402">
        <v>28000</v>
      </c>
      <c r="H117" s="411">
        <v>130500</v>
      </c>
    </row>
    <row r="118" spans="1:8" s="6" customFormat="1" ht="17.25" customHeight="1" thickBot="1">
      <c r="A118" s="282" t="s">
        <v>377</v>
      </c>
      <c r="B118" s="244"/>
      <c r="C118" s="245"/>
      <c r="D118" s="239"/>
      <c r="E118" s="239"/>
      <c r="F118" s="239"/>
      <c r="G118" s="240"/>
      <c r="H118" s="412">
        <v>12000</v>
      </c>
    </row>
    <row r="119" spans="1:8" s="6" customFormat="1" ht="17.25" customHeight="1" thickBot="1">
      <c r="A119" s="282" t="s">
        <v>326</v>
      </c>
      <c r="B119" s="244"/>
      <c r="C119" s="245"/>
      <c r="D119" s="239"/>
      <c r="E119" s="239"/>
      <c r="F119" s="239"/>
      <c r="G119" s="240"/>
      <c r="H119" s="246">
        <v>7500</v>
      </c>
    </row>
    <row r="120" spans="1:8" s="284" customFormat="1" ht="17.25" customHeight="1" thickBot="1">
      <c r="A120" s="283" t="s">
        <v>328</v>
      </c>
      <c r="B120" s="237"/>
      <c r="C120" s="242"/>
      <c r="D120" s="234"/>
      <c r="E120" s="234"/>
      <c r="F120" s="234"/>
      <c r="G120" s="235"/>
      <c r="H120" s="393">
        <v>19500</v>
      </c>
    </row>
    <row r="121" spans="1:8" s="285" customFormat="1" ht="17.25" customHeight="1">
      <c r="A121" s="286" t="s">
        <v>329</v>
      </c>
      <c r="B121" s="276"/>
      <c r="C121" s="277"/>
      <c r="D121" s="278"/>
      <c r="E121" s="278"/>
      <c r="F121" s="278"/>
      <c r="G121" s="279"/>
      <c r="H121" s="413">
        <v>150000</v>
      </c>
    </row>
    <row r="123" spans="1:8" ht="15.75" customHeight="1">
      <c r="A123" s="1"/>
    </row>
  </sheetData>
  <autoFilter ref="A1:H121" xr:uid="{00000000-0009-0000-0000-000001000000}"/>
  <pageMargins left="0.7" right="0.7" top="0.75" bottom="0.75" header="0.3" footer="0.3"/>
  <pageSetup orientation="portrait" horizontalDpi="360" verticalDpi="36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87F895-934A-48AD-97AF-B7875808665D}">
  <dimension ref="C1:M19"/>
  <sheetViews>
    <sheetView tabSelected="1" workbookViewId="0">
      <selection activeCell="C15" sqref="C15"/>
    </sheetView>
  </sheetViews>
  <sheetFormatPr defaultRowHeight="15.6"/>
  <cols>
    <col min="3" max="3" width="46.09765625" style="492" customWidth="1"/>
    <col min="4" max="4" width="9.09765625" style="493" bestFit="1" customWidth="1"/>
    <col min="5" max="5" width="17.59765625" style="493" hidden="1" customWidth="1"/>
    <col min="6" max="6" width="17.5" hidden="1" customWidth="1"/>
    <col min="7" max="7" width="13.09765625" customWidth="1"/>
    <col min="8" max="8" width="14.09765625" customWidth="1"/>
    <col min="9" max="9" width="17.69921875" customWidth="1"/>
    <col min="10" max="10" width="10.09765625" bestFit="1" customWidth="1"/>
    <col min="11" max="11" width="10.3984375" bestFit="1" customWidth="1"/>
    <col min="12" max="12" width="11.09765625" bestFit="1" customWidth="1"/>
  </cols>
  <sheetData>
    <row r="1" spans="3:13">
      <c r="G1" s="504" t="s">
        <v>442</v>
      </c>
      <c r="H1" s="504" t="s">
        <v>443</v>
      </c>
    </row>
    <row r="2" spans="3:13">
      <c r="E2" s="497" t="s">
        <v>441</v>
      </c>
      <c r="F2" s="494">
        <v>0.08</v>
      </c>
      <c r="G2" s="494">
        <v>0.08</v>
      </c>
      <c r="H2" s="494">
        <v>0.05</v>
      </c>
    </row>
    <row r="3" spans="3:13" ht="31.2">
      <c r="C3" s="492" t="s">
        <v>263</v>
      </c>
      <c r="D3" s="502">
        <f>E3+F3</f>
        <v>30000.240000000002</v>
      </c>
      <c r="E3" s="493">
        <v>27778</v>
      </c>
      <c r="F3" s="500">
        <f>E3*F2</f>
        <v>2222.2400000000002</v>
      </c>
      <c r="G3" s="500">
        <f>D3*G2</f>
        <v>2400.0192000000002</v>
      </c>
      <c r="H3" s="500">
        <f>D3*H2</f>
        <v>1500.0120000000002</v>
      </c>
    </row>
    <row r="4" spans="3:13">
      <c r="G4" s="500"/>
    </row>
    <row r="5" spans="3:13">
      <c r="G5" s="500"/>
    </row>
    <row r="6" spans="3:13" ht="31.2">
      <c r="C6" s="492" t="s">
        <v>277</v>
      </c>
      <c r="D6" s="502">
        <f>E6+F6</f>
        <v>24999.84</v>
      </c>
      <c r="E6" s="493">
        <v>23148</v>
      </c>
      <c r="F6" s="500">
        <f>E6*F2</f>
        <v>1851.8400000000001</v>
      </c>
      <c r="G6" s="500">
        <f>D6*G2</f>
        <v>1999.9872</v>
      </c>
      <c r="H6" s="500">
        <f>D6*H2</f>
        <v>1249.9920000000002</v>
      </c>
      <c r="K6" s="496"/>
      <c r="L6" s="496"/>
    </row>
    <row r="7" spans="3:13">
      <c r="G7" s="500"/>
      <c r="K7" s="496"/>
    </row>
    <row r="8" spans="3:13">
      <c r="G8" s="500"/>
    </row>
    <row r="9" spans="3:13" ht="31.2">
      <c r="C9" s="492" t="s">
        <v>288</v>
      </c>
      <c r="D9" s="502">
        <v>22000</v>
      </c>
      <c r="E9" s="493">
        <v>18981</v>
      </c>
      <c r="F9" s="500">
        <v>1519</v>
      </c>
      <c r="G9" s="500">
        <f>D9*G2</f>
        <v>1760</v>
      </c>
      <c r="H9" s="500">
        <f>D9*H2</f>
        <v>1100</v>
      </c>
      <c r="K9" s="496"/>
      <c r="L9" s="496"/>
    </row>
    <row r="10" spans="3:13">
      <c r="G10" s="500"/>
    </row>
    <row r="11" spans="3:13">
      <c r="G11" s="500"/>
    </row>
    <row r="12" spans="3:13" ht="31.2">
      <c r="C12" s="492" t="s">
        <v>301</v>
      </c>
      <c r="D12" s="502">
        <f>E12+F12</f>
        <v>34999.56</v>
      </c>
      <c r="E12" s="493">
        <v>32407</v>
      </c>
      <c r="F12" s="500">
        <f>E12*F2</f>
        <v>2592.56</v>
      </c>
      <c r="G12" s="500">
        <f>D12*G2</f>
        <v>2799.9647999999997</v>
      </c>
      <c r="H12" s="500">
        <f>D12*H2</f>
        <v>1749.9780000000001</v>
      </c>
      <c r="K12" s="496"/>
      <c r="L12" s="496"/>
    </row>
    <row r="13" spans="3:13">
      <c r="G13" s="500"/>
      <c r="J13" s="498">
        <f>D17*G2</f>
        <v>10619.491200000002</v>
      </c>
      <c r="K13" s="498">
        <f>D17*H2</f>
        <v>6637.1820000000007</v>
      </c>
      <c r="L13" s="498">
        <f>D17+J13+K13</f>
        <v>150000.3132</v>
      </c>
    </row>
    <row r="14" spans="3:13">
      <c r="G14" s="500"/>
    </row>
    <row r="15" spans="3:13" ht="31.2">
      <c r="C15" s="492" t="s">
        <v>327</v>
      </c>
      <c r="D15" s="501">
        <v>20744</v>
      </c>
      <c r="E15" s="493">
        <v>18518.5</v>
      </c>
      <c r="F15" s="499">
        <f>E15*F2</f>
        <v>1481.48</v>
      </c>
      <c r="G15" s="500">
        <f>D15*G2</f>
        <v>1659.52</v>
      </c>
      <c r="H15" s="500">
        <f>D15*H2</f>
        <v>1037.2</v>
      </c>
      <c r="K15" s="495"/>
      <c r="L15" s="495"/>
      <c r="M15" s="495"/>
    </row>
    <row r="17" spans="3:9">
      <c r="D17" s="502">
        <f>SUM(D3:D16)</f>
        <v>132743.64000000001</v>
      </c>
      <c r="E17" s="493">
        <f>SUM(E3:E16)</f>
        <v>120832.5</v>
      </c>
      <c r="F17" s="500">
        <f>SUM(F3:F16)</f>
        <v>9667.119999999999</v>
      </c>
      <c r="G17" s="500">
        <f>SUM(G3:G16)</f>
        <v>10619.4912</v>
      </c>
      <c r="H17" s="500">
        <f>SUM(H3:H16)</f>
        <v>6637.1819999999998</v>
      </c>
      <c r="I17" s="500"/>
    </row>
    <row r="18" spans="3:9">
      <c r="C18" s="492" t="s">
        <v>440</v>
      </c>
    </row>
    <row r="19" spans="3:9">
      <c r="H19" s="503">
        <f>D17+G17+H17</f>
        <v>150000.3132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195"/>
  <sheetViews>
    <sheetView zoomScale="89" zoomScaleNormal="139" workbookViewId="0">
      <pane xSplit="1" ySplit="2" topLeftCell="F3" activePane="bottomRight" state="frozen"/>
      <selection pane="topRight" activeCell="B1" sqref="B1"/>
      <selection pane="bottomLeft" activeCell="A3" sqref="A3"/>
      <selection pane="bottomRight" activeCell="L3" sqref="L3:M17"/>
    </sheetView>
  </sheetViews>
  <sheetFormatPr defaultColWidth="10.796875" defaultRowHeight="15.6"/>
  <cols>
    <col min="1" max="1" width="70" style="8" bestFit="1" customWidth="1"/>
    <col min="2" max="2" width="18" style="8" customWidth="1"/>
    <col min="3" max="10" width="18" style="1" customWidth="1"/>
    <col min="11" max="11" width="14" style="10" customWidth="1"/>
    <col min="12" max="14" width="14" style="1" customWidth="1"/>
    <col min="15" max="15" width="14" style="10" customWidth="1"/>
    <col min="16" max="18" width="14" style="1" customWidth="1"/>
    <col min="19" max="19" width="11.5" style="1" bestFit="1" customWidth="1"/>
    <col min="20" max="20" width="10.5" style="1" bestFit="1" customWidth="1"/>
    <col min="21" max="21" width="12" style="1" bestFit="1" customWidth="1"/>
    <col min="22" max="22" width="10.5" style="1" bestFit="1" customWidth="1"/>
    <col min="23" max="23" width="11" style="1" bestFit="1" customWidth="1"/>
    <col min="24" max="24" width="8.796875" style="1" bestFit="1" customWidth="1"/>
    <col min="25" max="26" width="18" style="1" customWidth="1"/>
    <col min="27" max="27" width="10.796875" style="1" customWidth="1"/>
    <col min="28" max="16384" width="10.796875" style="1"/>
  </cols>
  <sheetData>
    <row r="1" spans="1:26">
      <c r="A1" s="479" t="s">
        <v>0</v>
      </c>
      <c r="B1" s="475" t="s">
        <v>16</v>
      </c>
      <c r="C1" s="451"/>
      <c r="D1" s="451"/>
      <c r="E1" s="451"/>
      <c r="F1" s="451"/>
      <c r="G1" s="451"/>
      <c r="H1" s="451"/>
      <c r="I1" s="451"/>
      <c r="J1" s="476"/>
      <c r="K1" s="477" t="s">
        <v>17</v>
      </c>
      <c r="L1" s="451"/>
      <c r="M1" s="451"/>
      <c r="N1" s="451"/>
      <c r="O1" s="451"/>
      <c r="P1" s="451"/>
      <c r="Q1" s="451"/>
      <c r="R1" s="476"/>
      <c r="S1" s="478" t="s">
        <v>18</v>
      </c>
      <c r="T1" s="451"/>
      <c r="U1" s="451"/>
      <c r="V1" s="451"/>
      <c r="W1" s="451"/>
      <c r="X1" s="451"/>
      <c r="Y1" s="451"/>
      <c r="Z1" s="451"/>
    </row>
    <row r="2" spans="1:26" ht="16.05" customHeight="1">
      <c r="A2" s="480"/>
      <c r="B2" s="195" t="s">
        <v>204</v>
      </c>
      <c r="C2" s="189" t="s">
        <v>206</v>
      </c>
      <c r="D2" s="189" t="s">
        <v>207</v>
      </c>
      <c r="E2" s="189" t="s">
        <v>4</v>
      </c>
      <c r="F2" s="189" t="s">
        <v>31</v>
      </c>
      <c r="G2" s="189" t="s">
        <v>115</v>
      </c>
      <c r="H2" s="189" t="s">
        <v>208</v>
      </c>
      <c r="I2" s="189" t="s">
        <v>209</v>
      </c>
      <c r="J2" s="196" t="s">
        <v>210</v>
      </c>
      <c r="K2" s="193" t="s">
        <v>204</v>
      </c>
      <c r="L2" s="189" t="s">
        <v>206</v>
      </c>
      <c r="M2" s="189" t="s">
        <v>207</v>
      </c>
      <c r="N2" s="189" t="s">
        <v>4</v>
      </c>
      <c r="O2" s="191" t="s">
        <v>31</v>
      </c>
      <c r="P2" s="189" t="s">
        <v>115</v>
      </c>
      <c r="Q2" s="207" t="s">
        <v>208</v>
      </c>
      <c r="R2" s="196" t="s">
        <v>209</v>
      </c>
      <c r="S2" s="208" t="s">
        <v>204</v>
      </c>
      <c r="T2" s="192" t="s">
        <v>206</v>
      </c>
      <c r="U2" s="189" t="s">
        <v>207</v>
      </c>
      <c r="V2" s="189" t="s">
        <v>4</v>
      </c>
      <c r="W2" s="189" t="s">
        <v>31</v>
      </c>
      <c r="X2" s="189" t="s">
        <v>115</v>
      </c>
      <c r="Y2" s="207" t="s">
        <v>208</v>
      </c>
      <c r="Z2" s="196" t="s">
        <v>209</v>
      </c>
    </row>
    <row r="3" spans="1:26" ht="16.05" customHeight="1">
      <c r="A3" s="214" t="s">
        <v>20</v>
      </c>
      <c r="B3" s="120">
        <f>'Detailed Budget'!M14-F3</f>
        <v>31266.666666666672</v>
      </c>
      <c r="C3" s="190" t="e">
        <f>#REF!</f>
        <v>#REF!</v>
      </c>
      <c r="D3" s="190"/>
      <c r="E3" s="24" t="e">
        <f>B3-C3</f>
        <v>#REF!</v>
      </c>
      <c r="F3" s="18">
        <f>'Detailed Budget'!M9</f>
        <v>2000</v>
      </c>
      <c r="G3" s="12"/>
      <c r="H3" s="12"/>
      <c r="I3" s="12"/>
      <c r="J3" s="200" t="e">
        <f t="shared" ref="J3:J18" si="0">B3-C3-D3-E3-H3</f>
        <v>#REF!</v>
      </c>
      <c r="K3" s="194">
        <f>'Detailed Budget'!N14-SUM('Workplan Inputs'!O3)</f>
        <v>19266.666666666668</v>
      </c>
      <c r="L3" s="12"/>
      <c r="M3" s="12"/>
      <c r="N3" s="24">
        <f>K3</f>
        <v>19266.666666666668</v>
      </c>
      <c r="O3" s="18">
        <f>'Detailed Budget'!N9</f>
        <v>2000</v>
      </c>
      <c r="P3" s="12"/>
      <c r="Q3" s="211"/>
      <c r="R3" s="197"/>
      <c r="S3" s="205">
        <f>'Detailed Budget'!O14-W3</f>
        <v>19266.666666666668</v>
      </c>
      <c r="T3" s="18"/>
      <c r="U3" s="12"/>
      <c r="V3" s="24">
        <f>S3</f>
        <v>19266.666666666668</v>
      </c>
      <c r="W3" s="18">
        <f>'Detailed Budget'!O9</f>
        <v>2000</v>
      </c>
      <c r="X3" s="18"/>
      <c r="Y3" s="211"/>
      <c r="Z3" s="197"/>
    </row>
    <row r="4" spans="1:26" ht="34.049999999999997" customHeight="1">
      <c r="A4" s="214" t="s">
        <v>39</v>
      </c>
      <c r="B4" s="120">
        <f>'Detailed Budget'!M28-'Workplan Inputs'!F4</f>
        <v>81800</v>
      </c>
      <c r="C4" s="12"/>
      <c r="D4" s="12"/>
      <c r="E4" s="24">
        <f>B4</f>
        <v>81800</v>
      </c>
      <c r="F4" s="24">
        <f>'Detailed Budget'!M17</f>
        <v>4500</v>
      </c>
      <c r="G4" s="12"/>
      <c r="H4" s="12"/>
      <c r="I4" s="12"/>
      <c r="J4" s="200">
        <f t="shared" si="0"/>
        <v>0</v>
      </c>
      <c r="K4" s="194">
        <f>'Detailed Budget'!N28-'Workplan Inputs'!O4</f>
        <v>81200</v>
      </c>
      <c r="L4" s="18" t="e">
        <f>#REF!/12*7</f>
        <v>#REF!</v>
      </c>
      <c r="M4" s="18"/>
      <c r="N4" s="24" t="e">
        <f>K4-L4</f>
        <v>#REF!</v>
      </c>
      <c r="O4" s="18">
        <f>'Detailed Budget'!N23</f>
        <v>40200</v>
      </c>
      <c r="P4" s="12"/>
      <c r="Q4" s="211"/>
      <c r="R4" s="197"/>
      <c r="S4" s="209"/>
      <c r="T4" s="12"/>
      <c r="U4" s="12"/>
      <c r="V4" s="12"/>
      <c r="W4" s="18"/>
      <c r="X4" s="18"/>
      <c r="Y4" s="211"/>
      <c r="Z4" s="197"/>
    </row>
    <row r="5" spans="1:26" ht="16.95" customHeight="1">
      <c r="A5" s="217" t="s">
        <v>53</v>
      </c>
      <c r="B5" s="198">
        <f>'Detailed Budget'!M40-'Workplan Inputs'!F5</f>
        <v>79800</v>
      </c>
      <c r="C5" s="12"/>
      <c r="D5" s="12"/>
      <c r="E5" s="24">
        <f>B5</f>
        <v>79800</v>
      </c>
      <c r="F5" s="24">
        <f>'Detailed Budget'!M31</f>
        <v>10000</v>
      </c>
      <c r="G5" s="12"/>
      <c r="H5" s="12"/>
      <c r="I5" s="12"/>
      <c r="J5" s="200">
        <f t="shared" si="0"/>
        <v>0</v>
      </c>
      <c r="K5" s="194">
        <f>'Detailed Budget'!N40-'Workplan Inputs'!O5</f>
        <v>36200</v>
      </c>
      <c r="L5" s="12"/>
      <c r="M5" s="12"/>
      <c r="N5" s="24">
        <f>K5</f>
        <v>36200</v>
      </c>
      <c r="O5" s="18">
        <f>'Detailed Budget'!N36</f>
        <v>11000</v>
      </c>
      <c r="P5" s="12"/>
      <c r="Q5" s="211"/>
      <c r="R5" s="197"/>
      <c r="S5" s="205"/>
      <c r="T5" s="18"/>
      <c r="U5" s="12"/>
      <c r="V5" s="12"/>
      <c r="W5" s="18"/>
      <c r="X5" s="18"/>
      <c r="Y5" s="211"/>
      <c r="Z5" s="197"/>
    </row>
    <row r="6" spans="1:26" ht="16.95" customHeight="1">
      <c r="A6" s="217" t="s">
        <v>67</v>
      </c>
      <c r="B6" s="199"/>
      <c r="C6" s="12"/>
      <c r="D6" s="12"/>
      <c r="E6" s="24"/>
      <c r="F6" s="12"/>
      <c r="G6" s="12"/>
      <c r="H6" s="12"/>
      <c r="I6" s="12"/>
      <c r="J6" s="200">
        <f t="shared" si="0"/>
        <v>0</v>
      </c>
      <c r="K6" s="194">
        <f>'Detailed Budget'!N47</f>
        <v>62700</v>
      </c>
      <c r="L6" s="18" t="e">
        <f>#REF!/12*5</f>
        <v>#REF!</v>
      </c>
      <c r="M6" s="18"/>
      <c r="N6" s="24" t="e">
        <f>K6-L6</f>
        <v>#REF!</v>
      </c>
      <c r="O6" s="18"/>
      <c r="P6" s="12"/>
      <c r="Q6" s="211"/>
      <c r="R6" s="197"/>
      <c r="S6" s="205"/>
      <c r="T6" s="18"/>
      <c r="U6" s="12"/>
      <c r="V6" s="12"/>
      <c r="W6" s="18"/>
      <c r="X6" s="18"/>
      <c r="Y6" s="211"/>
      <c r="Z6" s="197"/>
    </row>
    <row r="7" spans="1:26" ht="16.95" customHeight="1">
      <c r="A7" s="214" t="s">
        <v>77</v>
      </c>
      <c r="B7" s="198">
        <f>'Detailed Budget'!M55</f>
        <v>52000</v>
      </c>
      <c r="C7" s="12"/>
      <c r="D7" s="12"/>
      <c r="E7" s="24"/>
      <c r="F7" s="24"/>
      <c r="G7" s="12"/>
      <c r="H7" s="12"/>
      <c r="I7" s="190"/>
      <c r="J7" s="200">
        <f t="shared" si="0"/>
        <v>52000</v>
      </c>
      <c r="K7" s="194">
        <f>'Detailed Budget'!N55-'Workplan Inputs'!O7</f>
        <v>8400</v>
      </c>
      <c r="L7" s="12"/>
      <c r="M7" s="12"/>
      <c r="N7" s="24">
        <f>K7</f>
        <v>8400</v>
      </c>
      <c r="O7" s="18">
        <f>'Detailed Budget'!N54</f>
        <v>5000</v>
      </c>
      <c r="P7" s="12"/>
      <c r="Q7" s="211"/>
      <c r="R7" s="197"/>
      <c r="S7" s="205"/>
      <c r="T7" s="18"/>
      <c r="U7" s="12"/>
      <c r="V7" s="12"/>
      <c r="W7" s="18"/>
      <c r="X7" s="18"/>
      <c r="Y7" s="211"/>
      <c r="Z7" s="197"/>
    </row>
    <row r="8" spans="1:26" ht="16.95" customHeight="1">
      <c r="A8" s="214" t="s">
        <v>87</v>
      </c>
      <c r="B8" s="120">
        <f>'Detailed Budget'!M67</f>
        <v>36800</v>
      </c>
      <c r="C8" s="12"/>
      <c r="D8" s="12"/>
      <c r="E8" s="24"/>
      <c r="F8" s="24"/>
      <c r="G8" s="12"/>
      <c r="H8" s="24">
        <v>160000</v>
      </c>
      <c r="I8" s="24"/>
      <c r="J8" s="200">
        <f t="shared" si="0"/>
        <v>-123200</v>
      </c>
      <c r="K8" s="194">
        <f>'Detailed Budget'!N67</f>
        <v>35400</v>
      </c>
      <c r="L8" s="12"/>
      <c r="M8" s="12"/>
      <c r="N8" s="12"/>
      <c r="O8" s="18"/>
      <c r="P8" s="12"/>
      <c r="Q8" s="211"/>
      <c r="R8" s="200"/>
      <c r="S8" s="205">
        <f>'Detailed Budget'!O67</f>
        <v>3000</v>
      </c>
      <c r="T8" s="18"/>
      <c r="U8" s="12"/>
      <c r="V8" s="12"/>
      <c r="W8" s="18"/>
      <c r="X8" s="18"/>
      <c r="Y8" s="211"/>
      <c r="Z8" s="200"/>
    </row>
    <row r="9" spans="1:26" ht="16.95" customHeight="1">
      <c r="A9" s="214" t="s">
        <v>106</v>
      </c>
      <c r="B9" s="120">
        <f>'Detailed Budget'!M86-F9</f>
        <v>84800</v>
      </c>
      <c r="C9" s="12"/>
      <c r="D9" s="12"/>
      <c r="E9" s="24" t="e">
        <f>E19-SUM(E3:E5)</f>
        <v>#REF!</v>
      </c>
      <c r="F9" s="24">
        <f>'Detailed Budget'!M73</f>
        <v>1200</v>
      </c>
      <c r="G9" s="12"/>
      <c r="H9" s="12"/>
      <c r="I9" s="190"/>
      <c r="J9" s="200" t="e">
        <f t="shared" si="0"/>
        <v>#REF!</v>
      </c>
      <c r="K9" s="194">
        <f>'Detailed Budget'!N86-'Workplan Inputs'!O9-P9</f>
        <v>54800</v>
      </c>
      <c r="L9" s="12"/>
      <c r="M9" s="18" t="e">
        <f>#REF!/12*4</f>
        <v>#REF!</v>
      </c>
      <c r="N9" s="24" t="e">
        <f>K9-M9</f>
        <v>#REF!</v>
      </c>
      <c r="O9" s="18">
        <f>'Detailed Budget'!N79</f>
        <v>15000</v>
      </c>
      <c r="P9" s="18">
        <f>'Detailed Budget'!N80+'Detailed Budget'!N81</f>
        <v>15750</v>
      </c>
      <c r="Q9" s="45"/>
      <c r="R9" s="197"/>
      <c r="S9" s="205">
        <f>'Detailed Budget'!O86-'Workplan Inputs'!W9-X9</f>
        <v>0</v>
      </c>
      <c r="T9" s="18"/>
      <c r="U9" s="12"/>
      <c r="V9" s="12"/>
      <c r="W9" s="18"/>
      <c r="X9" s="18"/>
      <c r="Y9" s="211"/>
      <c r="Z9" s="197"/>
    </row>
    <row r="10" spans="1:26" ht="16.95" customHeight="1">
      <c r="A10" s="214" t="s">
        <v>122</v>
      </c>
      <c r="B10" s="199"/>
      <c r="C10" s="12"/>
      <c r="D10" s="12"/>
      <c r="E10" s="24"/>
      <c r="F10" s="12"/>
      <c r="G10" s="12"/>
      <c r="H10" s="12"/>
      <c r="I10" s="12"/>
      <c r="J10" s="200">
        <f t="shared" si="0"/>
        <v>0</v>
      </c>
      <c r="K10" s="194">
        <f>'Detailed Budget'!N103-'Workplan Inputs'!O10</f>
        <v>71400</v>
      </c>
      <c r="L10" s="12"/>
      <c r="M10" s="18" t="e">
        <f>#REF!/12*2</f>
        <v>#REF!</v>
      </c>
      <c r="N10" s="24" t="e">
        <f>K10-M10</f>
        <v>#REF!</v>
      </c>
      <c r="O10" s="18">
        <f>'Detailed Budget'!N90</f>
        <v>1000</v>
      </c>
      <c r="P10" s="12"/>
      <c r="Q10" s="211"/>
      <c r="R10" s="200" t="e">
        <f>#REF!-'Workplan Inputs'!H8</f>
        <v>#REF!</v>
      </c>
      <c r="S10" s="205">
        <f>'Detailed Budget'!O103-W10-X10</f>
        <v>49600</v>
      </c>
      <c r="T10" s="18"/>
      <c r="U10" s="24" t="e">
        <f>#REF!/12*2</f>
        <v>#REF!</v>
      </c>
      <c r="V10" s="24" t="e">
        <f>S10-U10</f>
        <v>#REF!</v>
      </c>
      <c r="W10" s="18">
        <f>'Detailed Budget'!O94+'Detailed Budget'!O96</f>
        <v>28000</v>
      </c>
      <c r="X10" s="18">
        <f>'Detailed Budget'!O98+'Detailed Budget'!O97</f>
        <v>15750</v>
      </c>
      <c r="Y10" s="211"/>
      <c r="Z10" s="197"/>
    </row>
    <row r="11" spans="1:26" ht="16.95" customHeight="1">
      <c r="A11" s="215" t="s">
        <v>133</v>
      </c>
      <c r="B11" s="201"/>
      <c r="C11" s="12"/>
      <c r="D11" s="12"/>
      <c r="E11" s="24"/>
      <c r="F11" s="24"/>
      <c r="G11" s="12"/>
      <c r="H11" s="12"/>
      <c r="I11" s="12"/>
      <c r="J11" s="200">
        <f t="shared" si="0"/>
        <v>0</v>
      </c>
      <c r="K11" s="194">
        <f>'Detailed Budget'!N120-'Workplan Inputs'!O11</f>
        <v>71400</v>
      </c>
      <c r="L11" s="12"/>
      <c r="M11" s="12"/>
      <c r="N11" s="24">
        <f>K11</f>
        <v>71400</v>
      </c>
      <c r="O11" s="18">
        <f>'Detailed Budget'!N107</f>
        <v>1000</v>
      </c>
      <c r="P11" s="12"/>
      <c r="Q11" s="211"/>
      <c r="R11" s="197"/>
      <c r="S11" s="205">
        <f>'Detailed Budget'!O120-'Workplan Inputs'!W11-X11</f>
        <v>49600</v>
      </c>
      <c r="T11" s="18"/>
      <c r="U11" s="12"/>
      <c r="V11" s="24">
        <f>S11-153</f>
        <v>49447</v>
      </c>
      <c r="W11" s="18">
        <f>'Detailed Budget'!O111+'Detailed Budget'!O113</f>
        <v>28000</v>
      </c>
      <c r="X11" s="18">
        <f>'Detailed Budget'!O114+'Detailed Budget'!O115</f>
        <v>15750</v>
      </c>
      <c r="Y11" s="211"/>
      <c r="Z11" s="197"/>
    </row>
    <row r="12" spans="1:26" ht="16.95" customHeight="1">
      <c r="A12" s="215" t="s">
        <v>135</v>
      </c>
      <c r="B12" s="201"/>
      <c r="C12" s="12"/>
      <c r="D12" s="12"/>
      <c r="E12" s="24"/>
      <c r="F12" s="24"/>
      <c r="G12" s="12"/>
      <c r="H12" s="12"/>
      <c r="I12" s="12"/>
      <c r="J12" s="200">
        <f t="shared" si="0"/>
        <v>0</v>
      </c>
      <c r="K12" s="194"/>
      <c r="L12" s="12"/>
      <c r="M12" s="12"/>
      <c r="N12" s="12"/>
      <c r="O12" s="18"/>
      <c r="P12" s="12"/>
      <c r="Q12" s="211"/>
      <c r="R12" s="197"/>
      <c r="S12" s="205">
        <f>'Detailed Budget'!O139-W12</f>
        <v>163500</v>
      </c>
      <c r="T12" s="18" t="e">
        <f>#REF!</f>
        <v>#REF!</v>
      </c>
      <c r="U12" s="12"/>
      <c r="V12" s="12"/>
      <c r="W12" s="18">
        <f>'Detailed Budget'!O122+'Detailed Budget'!O127+'Detailed Budget'!O133+'Detailed Budget'!O135</f>
        <v>17500</v>
      </c>
      <c r="X12" s="18"/>
      <c r="Y12" s="211"/>
      <c r="Z12" s="197"/>
    </row>
    <row r="13" spans="1:26" ht="16.95" customHeight="1">
      <c r="A13" s="214" t="s">
        <v>155</v>
      </c>
      <c r="B13" s="120"/>
      <c r="C13" s="12"/>
      <c r="D13" s="12"/>
      <c r="E13" s="24"/>
      <c r="F13" s="24"/>
      <c r="G13" s="12"/>
      <c r="H13" s="12"/>
      <c r="I13" s="12"/>
      <c r="J13" s="200">
        <f t="shared" si="0"/>
        <v>0</v>
      </c>
      <c r="K13" s="194"/>
      <c r="L13" s="12"/>
      <c r="M13" s="12"/>
      <c r="N13" s="12"/>
      <c r="O13" s="18"/>
      <c r="P13" s="12"/>
      <c r="Q13" s="211"/>
      <c r="R13" s="197"/>
      <c r="S13" s="205">
        <f>'Detailed Budget'!O148-W13-X13</f>
        <v>43200</v>
      </c>
      <c r="T13" s="18"/>
      <c r="U13" s="24" t="e">
        <f>#REF!/12*3</f>
        <v>#REF!</v>
      </c>
      <c r="V13" s="12"/>
      <c r="W13" s="18">
        <f>'Detailed Budget'!P143</f>
        <v>15000</v>
      </c>
      <c r="X13" s="18">
        <f>'Detailed Budget'!O144+'Detailed Budget'!O145</f>
        <v>15750</v>
      </c>
      <c r="Y13" s="211"/>
      <c r="Z13" s="197"/>
    </row>
    <row r="14" spans="1:26" ht="16.05" customHeight="1">
      <c r="A14" s="214" t="s">
        <v>164</v>
      </c>
      <c r="B14" s="120">
        <f>'Detailed Budget'!M165-F14</f>
        <v>76200</v>
      </c>
      <c r="C14" s="12"/>
      <c r="D14" s="190" t="e">
        <f>#REF!</f>
        <v>#REF!</v>
      </c>
      <c r="E14" s="24"/>
      <c r="F14" s="24">
        <f>'Detailed Budget'!M152+'Detailed Budget'!M154+'Detailed Budget'!M157+'Detailed Budget'!M160</f>
        <v>18000</v>
      </c>
      <c r="G14" s="12"/>
      <c r="H14" s="12"/>
      <c r="I14" s="190">
        <v>50000</v>
      </c>
      <c r="J14" s="200" t="e">
        <f t="shared" si="0"/>
        <v>#REF!</v>
      </c>
      <c r="K14" s="194"/>
      <c r="L14" s="12"/>
      <c r="M14" s="12"/>
      <c r="N14" s="12"/>
      <c r="O14" s="18"/>
      <c r="P14" s="12"/>
      <c r="Q14" s="211"/>
      <c r="R14" s="197"/>
      <c r="S14" s="209"/>
      <c r="T14" s="12"/>
      <c r="U14" s="12"/>
      <c r="V14" s="12"/>
      <c r="W14" s="18"/>
      <c r="X14" s="18"/>
      <c r="Y14" s="211"/>
      <c r="Z14" s="197"/>
    </row>
    <row r="15" spans="1:26" ht="16.95" customHeight="1">
      <c r="A15" s="214" t="s">
        <v>175</v>
      </c>
      <c r="B15" s="120"/>
      <c r="C15" s="12"/>
      <c r="D15" s="12"/>
      <c r="E15" s="24"/>
      <c r="F15" s="24"/>
      <c r="G15" s="12"/>
      <c r="H15" s="12"/>
      <c r="I15" s="12"/>
      <c r="J15" s="200">
        <f t="shared" si="0"/>
        <v>0</v>
      </c>
      <c r="K15" s="194">
        <f>'Detailed Budget'!N180-O15</f>
        <v>79800</v>
      </c>
      <c r="M15" s="18" t="e">
        <f>#REF!/12*6</f>
        <v>#REF!</v>
      </c>
      <c r="N15" s="24" t="e">
        <f>K15-M15</f>
        <v>#REF!</v>
      </c>
      <c r="O15" s="18">
        <f>'Detailed Budget'!N167+'Detailed Budget'!N175+'Detailed Budget'!N170+'Detailed Budget'!N177</f>
        <v>15000</v>
      </c>
      <c r="P15" s="12"/>
      <c r="Q15" s="211"/>
      <c r="R15" s="197"/>
      <c r="S15" s="205">
        <f>'Detailed Budget'!O180-W15</f>
        <v>0</v>
      </c>
      <c r="T15" s="18"/>
      <c r="U15" s="12"/>
      <c r="V15" s="12"/>
      <c r="W15" s="18"/>
      <c r="X15" s="18"/>
      <c r="Y15" s="211"/>
      <c r="Z15" s="197"/>
    </row>
    <row r="16" spans="1:26" ht="34.049999999999997" customHeight="1">
      <c r="A16" s="214" t="s">
        <v>186</v>
      </c>
      <c r="B16" s="120"/>
      <c r="C16" s="12"/>
      <c r="D16" s="12"/>
      <c r="E16" s="24"/>
      <c r="F16" s="24"/>
      <c r="G16" s="12"/>
      <c r="H16" s="12"/>
      <c r="I16" s="12"/>
      <c r="J16" s="200">
        <f t="shared" si="0"/>
        <v>0</v>
      </c>
      <c r="K16" s="194"/>
      <c r="L16" s="12"/>
      <c r="M16" s="12"/>
      <c r="N16" s="12"/>
      <c r="O16" s="18"/>
      <c r="P16" s="12"/>
      <c r="Q16" s="211"/>
      <c r="R16" s="197"/>
      <c r="S16" s="205">
        <f>'Detailed Budget'!O188-W16</f>
        <v>59200</v>
      </c>
      <c r="T16" s="18"/>
      <c r="U16" s="24" t="e">
        <f>#REF!/12*4</f>
        <v>#REF!</v>
      </c>
      <c r="V16" s="12"/>
      <c r="W16" s="18">
        <f>'Detailed Budget'!O184</f>
        <v>12000</v>
      </c>
      <c r="X16" s="18"/>
      <c r="Y16" s="211"/>
      <c r="Z16" s="197"/>
    </row>
    <row r="17" spans="1:26" ht="34.049999999999997" customHeight="1">
      <c r="A17" s="214" t="s">
        <v>194</v>
      </c>
      <c r="B17" s="120"/>
      <c r="C17" s="12"/>
      <c r="D17" s="12"/>
      <c r="E17" s="24"/>
      <c r="F17" s="24"/>
      <c r="G17" s="12"/>
      <c r="H17" s="12"/>
      <c r="I17" s="12"/>
      <c r="J17" s="200">
        <f t="shared" si="0"/>
        <v>0</v>
      </c>
      <c r="K17" s="194"/>
      <c r="L17" s="12"/>
      <c r="M17" s="12"/>
      <c r="N17" s="12"/>
      <c r="O17" s="18"/>
      <c r="P17" s="12"/>
      <c r="Q17" s="211"/>
      <c r="R17" s="197"/>
      <c r="S17" s="210">
        <f>'Detailed Budget'!O194-W17</f>
        <v>39200</v>
      </c>
      <c r="U17" s="24" t="e">
        <f>#REF!/12*3</f>
        <v>#REF!</v>
      </c>
      <c r="V17" s="12"/>
      <c r="W17" s="18">
        <f>'Detailed Budget'!O190</f>
        <v>25200</v>
      </c>
      <c r="X17" s="18"/>
      <c r="Y17" s="211"/>
      <c r="Z17" s="197"/>
    </row>
    <row r="18" spans="1:26" ht="18" customHeight="1" thickBot="1">
      <c r="A18" s="218" t="s">
        <v>8</v>
      </c>
      <c r="B18" s="202">
        <f t="shared" ref="B18:G18" si="1">SUM(B3:B17)</f>
        <v>442666.66666666669</v>
      </c>
      <c r="C18" s="203" t="e">
        <f t="shared" si="1"/>
        <v>#REF!</v>
      </c>
      <c r="D18" s="203" t="e">
        <f t="shared" si="1"/>
        <v>#REF!</v>
      </c>
      <c r="E18" s="203" t="e">
        <f t="shared" si="1"/>
        <v>#REF!</v>
      </c>
      <c r="F18" s="203">
        <f t="shared" si="1"/>
        <v>35700</v>
      </c>
      <c r="G18" s="203">
        <f t="shared" si="1"/>
        <v>0</v>
      </c>
      <c r="H18" s="203">
        <v>160000</v>
      </c>
      <c r="I18" s="203"/>
      <c r="J18" s="204" t="e">
        <f t="shared" si="0"/>
        <v>#REF!</v>
      </c>
      <c r="K18" s="213">
        <f>SUM(K3:K17)</f>
        <v>520566.66666666669</v>
      </c>
      <c r="L18" s="203" t="e">
        <f>SUM(L3:L17)</f>
        <v>#REF!</v>
      </c>
      <c r="M18" s="203" t="e">
        <f>SUM(M3:M17)</f>
        <v>#REF!</v>
      </c>
      <c r="N18" s="203" t="e">
        <f>SUM(N3:N17)</f>
        <v>#REF!</v>
      </c>
      <c r="O18" s="206">
        <f>SUM(O3:O17)</f>
        <v>90200</v>
      </c>
      <c r="P18" s="203">
        <f>SUM(P4:P17)</f>
        <v>15750</v>
      </c>
      <c r="Q18" s="212"/>
      <c r="R18" s="204" t="e">
        <f t="shared" ref="R18:X18" si="2">SUM(R3:R17)</f>
        <v>#REF!</v>
      </c>
      <c r="S18" s="202">
        <f t="shared" si="2"/>
        <v>426566.66666666669</v>
      </c>
      <c r="T18" s="203" t="e">
        <f t="shared" si="2"/>
        <v>#REF!</v>
      </c>
      <c r="U18" s="203" t="e">
        <f t="shared" si="2"/>
        <v>#REF!</v>
      </c>
      <c r="V18" s="203" t="e">
        <f t="shared" si="2"/>
        <v>#REF!</v>
      </c>
      <c r="W18" s="206">
        <f t="shared" si="2"/>
        <v>127700</v>
      </c>
      <c r="X18" s="206">
        <f t="shared" si="2"/>
        <v>47250</v>
      </c>
      <c r="Y18" s="212" t="e">
        <f>#REF!</f>
        <v>#REF!</v>
      </c>
      <c r="Z18" s="204">
        <f>SUM(Z3:Z17)</f>
        <v>0</v>
      </c>
    </row>
    <row r="19" spans="1:26">
      <c r="A19" s="187"/>
      <c r="B19" s="187"/>
      <c r="E19" s="19" t="e">
        <f>#REF!</f>
        <v>#REF!</v>
      </c>
      <c r="N19" s="22" t="e">
        <f>#REF!</f>
        <v>#REF!</v>
      </c>
      <c r="V19" s="19" t="e">
        <f>#REF!</f>
        <v>#REF!</v>
      </c>
    </row>
    <row r="20" spans="1:26">
      <c r="A20" s="187"/>
      <c r="B20" s="187"/>
    </row>
    <row r="21" spans="1:26">
      <c r="A21" s="187"/>
      <c r="B21" s="187"/>
    </row>
    <row r="22" spans="1:26" ht="16.95" customHeight="1">
      <c r="A22" s="187"/>
      <c r="B22" s="187" t="s">
        <v>210</v>
      </c>
      <c r="C22" s="183" t="e">
        <f>B18-C18-D18-E18-H18</f>
        <v>#REF!</v>
      </c>
      <c r="K22" s="10" t="s">
        <v>210</v>
      </c>
      <c r="L22" s="183" t="e">
        <f>K18-L18-M18-N18-R18</f>
        <v>#REF!</v>
      </c>
      <c r="S22" s="10" t="s">
        <v>210</v>
      </c>
      <c r="T22" s="183" t="e">
        <f>S18-T18-U18-V18-Z18</f>
        <v>#REF!</v>
      </c>
    </row>
    <row r="23" spans="1:26">
      <c r="A23" s="187"/>
      <c r="B23" s="187"/>
    </row>
    <row r="24" spans="1:26">
      <c r="A24" s="187"/>
      <c r="B24" s="187"/>
      <c r="C24" s="183"/>
    </row>
    <row r="25" spans="1:26">
      <c r="A25" s="187"/>
      <c r="B25" s="187"/>
      <c r="C25" s="23"/>
    </row>
    <row r="26" spans="1:26">
      <c r="A26" s="187"/>
      <c r="B26" s="187"/>
    </row>
    <row r="27" spans="1:26">
      <c r="A27" s="187"/>
      <c r="B27" s="187"/>
    </row>
    <row r="28" spans="1:26" ht="16.05" customHeight="1">
      <c r="A28" s="187"/>
      <c r="B28" s="187"/>
    </row>
    <row r="29" spans="1:26">
      <c r="A29" s="187"/>
      <c r="B29" s="187"/>
    </row>
    <row r="30" spans="1:26">
      <c r="A30" s="187"/>
      <c r="B30" s="187"/>
    </row>
    <row r="31" spans="1:26">
      <c r="A31" s="187"/>
      <c r="B31" s="187"/>
    </row>
    <row r="32" spans="1:26">
      <c r="A32" s="187"/>
      <c r="B32" s="187"/>
    </row>
    <row r="33" spans="1:2">
      <c r="A33" s="187"/>
      <c r="B33" s="187"/>
    </row>
    <row r="34" spans="1:2">
      <c r="A34" s="187"/>
      <c r="B34" s="187"/>
    </row>
    <row r="35" spans="1:2">
      <c r="A35" s="187"/>
      <c r="B35" s="187"/>
    </row>
    <row r="36" spans="1:2">
      <c r="A36" s="187"/>
      <c r="B36" s="187"/>
    </row>
    <row r="37" spans="1:2">
      <c r="A37" s="187"/>
      <c r="B37" s="187"/>
    </row>
    <row r="38" spans="1:2">
      <c r="A38" s="187"/>
      <c r="B38" s="187"/>
    </row>
    <row r="39" spans="1:2">
      <c r="A39" s="187"/>
      <c r="B39" s="187"/>
    </row>
    <row r="40" spans="1:2" ht="16.05" customHeight="1">
      <c r="A40" s="187"/>
      <c r="B40" s="187"/>
    </row>
    <row r="41" spans="1:2">
      <c r="A41" s="188"/>
      <c r="B41" s="188"/>
    </row>
    <row r="42" spans="1:2">
      <c r="A42" s="188"/>
      <c r="B42" s="188"/>
    </row>
    <row r="43" spans="1:2">
      <c r="A43" s="188"/>
      <c r="B43" s="188"/>
    </row>
    <row r="44" spans="1:2">
      <c r="A44" s="188"/>
      <c r="B44" s="188"/>
    </row>
    <row r="45" spans="1:2">
      <c r="A45" s="188"/>
      <c r="B45" s="188"/>
    </row>
    <row r="46" spans="1:2">
      <c r="A46" s="188"/>
      <c r="B46" s="188"/>
    </row>
    <row r="47" spans="1:2" ht="16.05" customHeight="1">
      <c r="A47" s="188"/>
      <c r="B47" s="188"/>
    </row>
    <row r="48" spans="1:2">
      <c r="A48" s="188"/>
      <c r="B48" s="188"/>
    </row>
    <row r="49" spans="1:2">
      <c r="A49" s="188"/>
      <c r="B49" s="188"/>
    </row>
    <row r="50" spans="1:2">
      <c r="A50" s="188"/>
      <c r="B50" s="188"/>
    </row>
    <row r="51" spans="1:2">
      <c r="A51" s="188"/>
      <c r="B51" s="188"/>
    </row>
    <row r="52" spans="1:2">
      <c r="A52" s="188"/>
      <c r="B52" s="188"/>
    </row>
    <row r="53" spans="1:2">
      <c r="A53" s="188"/>
      <c r="B53" s="188"/>
    </row>
    <row r="54" spans="1:2">
      <c r="A54" s="188"/>
      <c r="B54" s="188"/>
    </row>
    <row r="55" spans="1:2" ht="16.05" customHeight="1">
      <c r="A55" s="188"/>
      <c r="B55" s="188"/>
    </row>
    <row r="56" spans="1:2">
      <c r="A56" s="188"/>
      <c r="B56" s="188"/>
    </row>
    <row r="57" spans="1:2">
      <c r="A57" s="188"/>
      <c r="B57" s="188"/>
    </row>
    <row r="58" spans="1:2">
      <c r="A58" s="187"/>
      <c r="B58" s="187"/>
    </row>
    <row r="59" spans="1:2">
      <c r="A59" s="187"/>
      <c r="B59" s="187"/>
    </row>
    <row r="60" spans="1:2">
      <c r="A60" s="187"/>
      <c r="B60" s="187"/>
    </row>
    <row r="61" spans="1:2">
      <c r="A61" s="187"/>
      <c r="B61" s="187"/>
    </row>
    <row r="62" spans="1:2">
      <c r="A62" s="187"/>
      <c r="B62" s="187"/>
    </row>
    <row r="63" spans="1:2">
      <c r="A63" s="187"/>
      <c r="B63" s="187"/>
    </row>
    <row r="64" spans="1:2">
      <c r="A64" s="187"/>
      <c r="B64" s="187"/>
    </row>
    <row r="65" spans="1:2">
      <c r="A65" s="187"/>
      <c r="B65" s="187"/>
    </row>
    <row r="66" spans="1:2">
      <c r="A66" s="187"/>
      <c r="B66" s="187"/>
    </row>
    <row r="67" spans="1:2">
      <c r="A67" s="187"/>
      <c r="B67" s="187"/>
    </row>
    <row r="68" spans="1:2">
      <c r="A68" s="187"/>
      <c r="B68" s="187"/>
    </row>
    <row r="69" spans="1:2" ht="16.05" customHeight="1">
      <c r="A69" s="187"/>
      <c r="B69" s="187"/>
    </row>
    <row r="70" spans="1:2">
      <c r="A70" s="187"/>
      <c r="B70" s="187"/>
    </row>
    <row r="71" spans="1:2">
      <c r="A71" s="187"/>
      <c r="B71" s="187"/>
    </row>
    <row r="72" spans="1:2">
      <c r="A72" s="187"/>
      <c r="B72" s="187"/>
    </row>
    <row r="73" spans="1:2">
      <c r="A73" s="187"/>
      <c r="B73" s="187"/>
    </row>
    <row r="74" spans="1:2">
      <c r="A74" s="187"/>
      <c r="B74" s="187"/>
    </row>
    <row r="75" spans="1:2">
      <c r="A75" s="187"/>
      <c r="B75" s="187"/>
    </row>
    <row r="76" spans="1:2">
      <c r="A76" s="1"/>
      <c r="B76" s="1"/>
    </row>
    <row r="77" spans="1:2">
      <c r="A77" s="1"/>
      <c r="B77" s="1"/>
    </row>
    <row r="78" spans="1:2">
      <c r="A78" s="187"/>
      <c r="B78" s="187"/>
    </row>
    <row r="79" spans="1:2">
      <c r="A79" s="187"/>
      <c r="B79" s="187"/>
    </row>
    <row r="80" spans="1:2">
      <c r="A80" s="187"/>
      <c r="B80" s="187"/>
    </row>
    <row r="81" spans="1:2">
      <c r="A81" s="187"/>
      <c r="B81" s="187"/>
    </row>
    <row r="82" spans="1:2">
      <c r="A82" s="187"/>
      <c r="B82" s="187"/>
    </row>
    <row r="83" spans="1:2">
      <c r="A83" s="187"/>
      <c r="B83" s="187"/>
    </row>
    <row r="84" spans="1:2">
      <c r="A84" s="187"/>
      <c r="B84" s="187"/>
    </row>
    <row r="85" spans="1:2">
      <c r="A85" s="187"/>
      <c r="B85" s="187"/>
    </row>
    <row r="86" spans="1:2" ht="16.05" customHeight="1">
      <c r="A86" s="187"/>
      <c r="B86" s="187"/>
    </row>
    <row r="87" spans="1:2">
      <c r="A87" s="187"/>
      <c r="B87" s="187"/>
    </row>
    <row r="88" spans="1:2">
      <c r="A88" s="187"/>
      <c r="B88" s="187"/>
    </row>
    <row r="89" spans="1:2">
      <c r="A89" s="187"/>
      <c r="B89" s="187"/>
    </row>
    <row r="90" spans="1:2">
      <c r="A90" s="187"/>
      <c r="B90" s="187"/>
    </row>
    <row r="91" spans="1:2">
      <c r="A91" s="187"/>
      <c r="B91" s="187"/>
    </row>
    <row r="92" spans="1:2">
      <c r="A92" s="187"/>
      <c r="B92" s="187"/>
    </row>
    <row r="93" spans="1:2">
      <c r="A93" s="187"/>
      <c r="B93" s="187"/>
    </row>
    <row r="94" spans="1:2">
      <c r="A94" s="187"/>
      <c r="B94" s="187"/>
    </row>
    <row r="95" spans="1:2">
      <c r="A95" s="187"/>
      <c r="B95" s="187"/>
    </row>
    <row r="96" spans="1:2">
      <c r="A96" s="187"/>
      <c r="B96" s="187"/>
    </row>
    <row r="97" spans="1:2">
      <c r="A97" s="187"/>
      <c r="B97" s="187"/>
    </row>
    <row r="98" spans="1:2">
      <c r="A98" s="187"/>
      <c r="B98" s="187"/>
    </row>
    <row r="99" spans="1:2">
      <c r="A99" s="187"/>
      <c r="B99" s="187"/>
    </row>
    <row r="100" spans="1:2">
      <c r="A100" s="187"/>
      <c r="B100" s="187"/>
    </row>
    <row r="101" spans="1:2">
      <c r="A101" s="187"/>
      <c r="B101" s="187"/>
    </row>
    <row r="102" spans="1:2">
      <c r="A102" s="187"/>
      <c r="B102" s="187"/>
    </row>
    <row r="103" spans="1:2">
      <c r="A103" s="187"/>
      <c r="B103" s="187"/>
    </row>
    <row r="104" spans="1:2">
      <c r="A104" s="187"/>
      <c r="B104" s="187"/>
    </row>
    <row r="105" spans="1:2">
      <c r="A105" s="187"/>
      <c r="B105" s="187"/>
    </row>
    <row r="106" spans="1:2">
      <c r="A106" s="187"/>
      <c r="B106" s="187"/>
    </row>
    <row r="107" spans="1:2">
      <c r="A107" s="187"/>
      <c r="B107" s="187"/>
    </row>
    <row r="108" spans="1:2">
      <c r="A108" s="187"/>
      <c r="B108" s="187"/>
    </row>
    <row r="109" spans="1:2">
      <c r="A109" s="187"/>
      <c r="B109" s="187"/>
    </row>
    <row r="110" spans="1:2">
      <c r="A110" s="184"/>
      <c r="B110" s="184"/>
    </row>
    <row r="111" spans="1:2">
      <c r="A111" s="184"/>
      <c r="B111" s="184"/>
    </row>
    <row r="112" spans="1:2">
      <c r="A112" s="184"/>
      <c r="B112" s="184"/>
    </row>
    <row r="113" spans="1:2">
      <c r="A113" s="184"/>
      <c r="B113" s="184"/>
    </row>
    <row r="114" spans="1:2">
      <c r="A114" s="184"/>
      <c r="B114" s="184"/>
    </row>
    <row r="115" spans="1:2">
      <c r="A115" s="184"/>
      <c r="B115" s="184"/>
    </row>
    <row r="116" spans="1:2">
      <c r="A116" s="184"/>
      <c r="B116" s="184"/>
    </row>
    <row r="117" spans="1:2">
      <c r="A117" s="184"/>
      <c r="B117" s="184"/>
    </row>
    <row r="118" spans="1:2">
      <c r="A118" s="184"/>
      <c r="B118" s="184"/>
    </row>
    <row r="119" spans="1:2">
      <c r="A119" s="184"/>
      <c r="B119" s="184"/>
    </row>
    <row r="120" spans="1:2">
      <c r="A120" s="184"/>
      <c r="B120" s="184"/>
    </row>
    <row r="121" spans="1:2">
      <c r="A121" s="184"/>
      <c r="B121" s="184"/>
    </row>
    <row r="122" spans="1:2">
      <c r="A122" s="184"/>
      <c r="B122" s="184"/>
    </row>
    <row r="123" spans="1:2">
      <c r="A123" s="184"/>
      <c r="B123" s="184"/>
    </row>
    <row r="124" spans="1:2">
      <c r="A124" s="184"/>
      <c r="B124" s="184"/>
    </row>
    <row r="125" spans="1:2">
      <c r="A125" s="184"/>
      <c r="B125" s="184"/>
    </row>
    <row r="126" spans="1:2">
      <c r="A126" s="184"/>
      <c r="B126" s="184"/>
    </row>
    <row r="127" spans="1:2">
      <c r="A127" s="184"/>
      <c r="B127" s="184"/>
    </row>
    <row r="128" spans="1:2">
      <c r="A128" s="184"/>
      <c r="B128" s="184"/>
    </row>
    <row r="129" spans="1:2">
      <c r="A129" s="184"/>
      <c r="B129" s="184"/>
    </row>
    <row r="130" spans="1:2">
      <c r="A130" s="184"/>
      <c r="B130" s="184"/>
    </row>
    <row r="131" spans="1:2">
      <c r="A131" s="184"/>
      <c r="B131" s="184"/>
    </row>
    <row r="132" spans="1:2">
      <c r="A132" s="184"/>
      <c r="B132" s="184"/>
    </row>
    <row r="133" spans="1:2">
      <c r="A133" s="184"/>
      <c r="B133" s="184"/>
    </row>
    <row r="134" spans="1:2">
      <c r="A134" s="184"/>
      <c r="B134" s="184"/>
    </row>
    <row r="135" spans="1:2">
      <c r="A135" s="184"/>
      <c r="B135" s="184"/>
    </row>
    <row r="136" spans="1:2">
      <c r="A136" s="184"/>
      <c r="B136" s="184"/>
    </row>
    <row r="137" spans="1:2">
      <c r="A137" s="184"/>
      <c r="B137" s="184"/>
    </row>
    <row r="138" spans="1:2">
      <c r="A138" s="184"/>
      <c r="B138" s="184"/>
    </row>
    <row r="139" spans="1:2" ht="16.05" customHeight="1">
      <c r="A139" s="184"/>
      <c r="B139" s="184"/>
    </row>
    <row r="140" spans="1:2">
      <c r="A140" s="184"/>
      <c r="B140" s="184"/>
    </row>
    <row r="141" spans="1:2">
      <c r="A141" s="184"/>
      <c r="B141" s="184"/>
    </row>
    <row r="142" spans="1:2">
      <c r="A142" s="184"/>
      <c r="B142" s="184"/>
    </row>
    <row r="143" spans="1:2">
      <c r="A143" s="184"/>
      <c r="B143" s="184"/>
    </row>
    <row r="144" spans="1:2">
      <c r="A144" s="187"/>
      <c r="B144" s="187"/>
    </row>
    <row r="145" spans="1:2">
      <c r="A145" s="187"/>
      <c r="B145" s="187"/>
    </row>
    <row r="146" spans="1:2">
      <c r="A146" s="187"/>
      <c r="B146" s="187"/>
    </row>
    <row r="147" spans="1:2">
      <c r="A147" s="187"/>
      <c r="B147" s="187"/>
    </row>
    <row r="148" spans="1:2">
      <c r="A148" s="187"/>
      <c r="B148" s="187"/>
    </row>
    <row r="149" spans="1:2">
      <c r="A149" s="187"/>
      <c r="B149" s="187"/>
    </row>
    <row r="150" spans="1:2" ht="16.05" customHeight="1">
      <c r="A150" s="187"/>
      <c r="B150" s="187"/>
    </row>
    <row r="151" spans="1:2">
      <c r="A151" s="187"/>
      <c r="B151" s="187"/>
    </row>
    <row r="152" spans="1:2">
      <c r="A152" s="1"/>
      <c r="B152" s="1"/>
    </row>
    <row r="153" spans="1:2">
      <c r="A153" s="1"/>
      <c r="B153" s="1"/>
    </row>
    <row r="154" spans="1:2">
      <c r="A154" s="187"/>
      <c r="B154" s="187"/>
    </row>
    <row r="155" spans="1:2">
      <c r="A155" s="187"/>
      <c r="B155" s="187"/>
    </row>
    <row r="156" spans="1:2">
      <c r="A156" s="187"/>
      <c r="B156" s="187"/>
    </row>
    <row r="157" spans="1:2">
      <c r="A157" s="187"/>
      <c r="B157" s="187"/>
    </row>
    <row r="158" spans="1:2">
      <c r="A158" s="187"/>
      <c r="B158" s="187"/>
    </row>
    <row r="159" spans="1:2">
      <c r="A159" s="187"/>
      <c r="B159" s="187"/>
    </row>
    <row r="160" spans="1:2">
      <c r="A160" s="187"/>
      <c r="B160" s="187"/>
    </row>
    <row r="161" spans="1:2">
      <c r="A161" s="187"/>
      <c r="B161" s="187"/>
    </row>
    <row r="162" spans="1:2">
      <c r="A162" s="187"/>
      <c r="B162" s="187"/>
    </row>
    <row r="163" spans="1:2">
      <c r="A163" s="187"/>
      <c r="B163" s="187"/>
    </row>
    <row r="164" spans="1:2">
      <c r="A164" s="187"/>
      <c r="B164" s="187"/>
    </row>
    <row r="165" spans="1:2" ht="16.05" customHeight="1">
      <c r="A165" s="187"/>
      <c r="B165" s="187"/>
    </row>
    <row r="166" spans="1:2">
      <c r="A166" s="187"/>
      <c r="B166" s="187"/>
    </row>
    <row r="167" spans="1:2">
      <c r="A167" s="184"/>
      <c r="B167" s="184"/>
    </row>
    <row r="168" spans="1:2">
      <c r="A168" s="187"/>
      <c r="B168" s="187"/>
    </row>
    <row r="169" spans="1:2">
      <c r="A169" s="187"/>
      <c r="B169" s="187"/>
    </row>
    <row r="170" spans="1:2">
      <c r="A170" s="187"/>
      <c r="B170" s="187"/>
    </row>
    <row r="171" spans="1:2">
      <c r="A171" s="187"/>
      <c r="B171" s="187"/>
    </row>
    <row r="172" spans="1:2">
      <c r="A172" s="187"/>
      <c r="B172" s="187"/>
    </row>
    <row r="173" spans="1:2">
      <c r="A173" s="187"/>
      <c r="B173" s="187"/>
    </row>
    <row r="174" spans="1:2">
      <c r="A174" s="187"/>
      <c r="B174" s="187"/>
    </row>
    <row r="175" spans="1:2">
      <c r="A175" s="187"/>
      <c r="B175" s="187"/>
    </row>
    <row r="176" spans="1:2">
      <c r="A176" s="187"/>
      <c r="B176" s="187"/>
    </row>
    <row r="177" spans="1:2">
      <c r="A177" s="187"/>
      <c r="B177" s="187"/>
    </row>
    <row r="178" spans="1:2">
      <c r="A178" s="187"/>
      <c r="B178" s="187"/>
    </row>
    <row r="179" spans="1:2">
      <c r="A179" s="187"/>
      <c r="B179" s="187"/>
    </row>
    <row r="180" spans="1:2" ht="16.05" customHeight="1">
      <c r="A180" s="187"/>
      <c r="B180" s="187"/>
    </row>
    <row r="181" spans="1:2">
      <c r="A181" s="184"/>
      <c r="B181" s="184"/>
    </row>
    <row r="182" spans="1:2">
      <c r="A182" s="187"/>
      <c r="B182" s="187"/>
    </row>
    <row r="183" spans="1:2">
      <c r="A183" s="187"/>
      <c r="B183" s="187"/>
    </row>
    <row r="184" spans="1:2">
      <c r="A184" s="187"/>
      <c r="B184" s="187"/>
    </row>
    <row r="185" spans="1:2">
      <c r="A185" s="187"/>
      <c r="B185" s="187"/>
    </row>
    <row r="186" spans="1:2">
      <c r="A186" s="187"/>
      <c r="B186" s="187"/>
    </row>
    <row r="187" spans="1:2">
      <c r="A187" s="187"/>
      <c r="B187" s="187"/>
    </row>
    <row r="188" spans="1:2" ht="16.05" customHeight="1">
      <c r="A188" s="184"/>
      <c r="B188" s="184"/>
    </row>
    <row r="189" spans="1:2">
      <c r="A189" s="187"/>
      <c r="B189" s="187"/>
    </row>
    <row r="190" spans="1:2">
      <c r="A190" s="187"/>
      <c r="B190" s="187"/>
    </row>
    <row r="191" spans="1:2">
      <c r="A191" s="187"/>
      <c r="B191" s="187"/>
    </row>
    <row r="192" spans="1:2">
      <c r="A192" s="187"/>
      <c r="B192" s="187"/>
    </row>
    <row r="193" spans="1:2">
      <c r="A193" s="187"/>
      <c r="B193" s="187"/>
    </row>
    <row r="194" spans="1:2">
      <c r="A194" s="1"/>
      <c r="B194" s="1"/>
    </row>
    <row r="195" spans="1:2">
      <c r="A195" s="1"/>
      <c r="B195" s="1"/>
    </row>
  </sheetData>
  <mergeCells count="4">
    <mergeCell ref="B1:J1"/>
    <mergeCell ref="K1:R1"/>
    <mergeCell ref="S1:Z1"/>
    <mergeCell ref="A1:A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24"/>
  <sheetViews>
    <sheetView zoomScale="90" zoomScaleNormal="90" workbookViewId="0">
      <selection activeCell="A20" sqref="A20"/>
    </sheetView>
  </sheetViews>
  <sheetFormatPr defaultColWidth="10.796875" defaultRowHeight="15.6"/>
  <cols>
    <col min="1" max="1" width="58.296875" style="8" customWidth="1"/>
    <col min="2" max="3" width="67.296875" style="1" hidden="1" customWidth="1"/>
    <col min="4" max="4" width="18" style="1" bestFit="1" customWidth="1"/>
    <col min="5" max="5" width="18" style="1" customWidth="1"/>
    <col min="6" max="6" width="11" style="1" customWidth="1"/>
    <col min="7" max="7" width="24.296875" style="1" customWidth="1"/>
    <col min="8" max="8" width="18" style="1" customWidth="1"/>
    <col min="9" max="11" width="9" style="1" bestFit="1" customWidth="1"/>
    <col min="12" max="12" width="13" style="10" bestFit="1" customWidth="1"/>
    <col min="13" max="13" width="10.796875" style="1" customWidth="1"/>
    <col min="14" max="16384" width="10.796875" style="1"/>
  </cols>
  <sheetData>
    <row r="1" spans="1:12" ht="16.05" customHeight="1">
      <c r="A1" s="486" t="s">
        <v>0</v>
      </c>
      <c r="B1" s="488" t="s">
        <v>211</v>
      </c>
      <c r="C1" s="488" t="s">
        <v>212</v>
      </c>
      <c r="D1" s="488" t="s">
        <v>3</v>
      </c>
      <c r="E1" s="488" t="s">
        <v>213</v>
      </c>
      <c r="F1" s="488" t="s">
        <v>6</v>
      </c>
      <c r="G1" s="486" t="s">
        <v>214</v>
      </c>
      <c r="H1" s="488" t="s">
        <v>8</v>
      </c>
      <c r="I1" s="489" t="s">
        <v>215</v>
      </c>
      <c r="J1" s="482"/>
      <c r="K1" s="483"/>
      <c r="L1" s="490" t="s">
        <v>11</v>
      </c>
    </row>
    <row r="2" spans="1:12" ht="36.75" customHeight="1">
      <c r="A2" s="487"/>
      <c r="B2" s="487"/>
      <c r="C2" s="487"/>
      <c r="D2" s="487"/>
      <c r="E2" s="487"/>
      <c r="F2" s="487"/>
      <c r="G2" s="487"/>
      <c r="H2" s="487"/>
      <c r="I2" s="14" t="s">
        <v>16</v>
      </c>
      <c r="J2" s="14" t="s">
        <v>17</v>
      </c>
      <c r="K2" s="14" t="s">
        <v>18</v>
      </c>
      <c r="L2" s="487"/>
    </row>
    <row r="3" spans="1:12">
      <c r="A3" s="491" t="s">
        <v>19</v>
      </c>
      <c r="B3" s="482"/>
      <c r="C3" s="482"/>
      <c r="D3" s="482"/>
      <c r="E3" s="482"/>
      <c r="F3" s="482"/>
      <c r="G3" s="482"/>
      <c r="H3" s="482"/>
      <c r="I3" s="482"/>
      <c r="J3" s="482"/>
      <c r="K3" s="482"/>
      <c r="L3" s="483"/>
    </row>
    <row r="4" spans="1:12" s="6" customFormat="1" ht="129.75" customHeight="1">
      <c r="A4" s="4" t="s">
        <v>216</v>
      </c>
      <c r="B4" s="5" t="s">
        <v>217</v>
      </c>
      <c r="C4" s="4" t="s">
        <v>218</v>
      </c>
      <c r="D4" s="5" t="s">
        <v>23</v>
      </c>
      <c r="E4" s="17">
        <v>25</v>
      </c>
      <c r="F4" s="5">
        <v>4</v>
      </c>
      <c r="G4" s="5">
        <v>500</v>
      </c>
      <c r="H4" s="17">
        <f t="shared" ref="H4:H9" si="0">E4*F4*G4</f>
        <v>50000</v>
      </c>
      <c r="I4" s="7" t="s">
        <v>25</v>
      </c>
      <c r="J4" s="7" t="s">
        <v>25</v>
      </c>
      <c r="K4" s="7" t="s">
        <v>25</v>
      </c>
      <c r="L4" s="9">
        <f>H4*3</f>
        <v>150000</v>
      </c>
    </row>
    <row r="5" spans="1:12" s="6" customFormat="1" ht="205.05" customHeight="1">
      <c r="A5" s="4" t="s">
        <v>219</v>
      </c>
      <c r="B5" s="4" t="s">
        <v>220</v>
      </c>
      <c r="C5" s="4" t="s">
        <v>221</v>
      </c>
      <c r="D5" s="5" t="s">
        <v>23</v>
      </c>
      <c r="E5" s="5">
        <v>5</v>
      </c>
      <c r="F5" s="5">
        <v>12</v>
      </c>
      <c r="G5" s="5">
        <v>2500</v>
      </c>
      <c r="H5" s="17">
        <f t="shared" si="0"/>
        <v>150000</v>
      </c>
      <c r="I5" s="7" t="s">
        <v>25</v>
      </c>
      <c r="J5" s="7" t="s">
        <v>25</v>
      </c>
      <c r="K5" s="7"/>
      <c r="L5" s="9">
        <f>H5*2</f>
        <v>300000</v>
      </c>
    </row>
    <row r="6" spans="1:12" s="6" customFormat="1" ht="204" customHeight="1">
      <c r="A6" s="4" t="s">
        <v>222</v>
      </c>
      <c r="B6" s="4" t="s">
        <v>223</v>
      </c>
      <c r="C6" s="4" t="s">
        <v>224</v>
      </c>
      <c r="D6" s="5" t="s">
        <v>23</v>
      </c>
      <c r="E6" s="5">
        <v>5</v>
      </c>
      <c r="F6" s="5">
        <v>12</v>
      </c>
      <c r="G6" s="5">
        <v>2500</v>
      </c>
      <c r="H6" s="17">
        <f t="shared" si="0"/>
        <v>150000</v>
      </c>
      <c r="I6" s="7" t="s">
        <v>25</v>
      </c>
      <c r="J6" s="7"/>
      <c r="L6" s="9">
        <f>H6*1</f>
        <v>150000</v>
      </c>
    </row>
    <row r="7" spans="1:12" s="6" customFormat="1" ht="171" customHeight="1">
      <c r="A7" s="4" t="s">
        <v>225</v>
      </c>
      <c r="B7" s="4" t="s">
        <v>226</v>
      </c>
      <c r="C7" s="4" t="s">
        <v>227</v>
      </c>
      <c r="D7" s="5" t="s">
        <v>23</v>
      </c>
      <c r="E7" s="5">
        <v>4</v>
      </c>
      <c r="F7" s="5">
        <v>12</v>
      </c>
      <c r="G7" s="5">
        <v>4000</v>
      </c>
      <c r="H7" s="17">
        <f t="shared" si="0"/>
        <v>192000</v>
      </c>
      <c r="I7" s="7" t="s">
        <v>25</v>
      </c>
      <c r="J7" s="7"/>
      <c r="K7" s="7"/>
      <c r="L7" s="9">
        <f>H7*1</f>
        <v>192000</v>
      </c>
    </row>
    <row r="8" spans="1:12" s="6" customFormat="1" ht="243" customHeight="1">
      <c r="A8" s="4" t="s">
        <v>228</v>
      </c>
      <c r="B8" s="4" t="s">
        <v>229</v>
      </c>
      <c r="C8" s="4" t="s">
        <v>230</v>
      </c>
      <c r="D8" s="5" t="s">
        <v>23</v>
      </c>
      <c r="E8" s="5">
        <v>4</v>
      </c>
      <c r="F8" s="5">
        <v>12</v>
      </c>
      <c r="G8" s="5">
        <v>2500</v>
      </c>
      <c r="H8" s="17">
        <f t="shared" si="0"/>
        <v>120000</v>
      </c>
      <c r="I8" s="7" t="s">
        <v>25</v>
      </c>
      <c r="J8" s="7" t="s">
        <v>25</v>
      </c>
      <c r="K8" s="7"/>
      <c r="L8" s="9">
        <f>H8*2</f>
        <v>240000</v>
      </c>
    </row>
    <row r="9" spans="1:12" s="6" customFormat="1" ht="51" customHeight="1">
      <c r="A9" s="4" t="s">
        <v>231</v>
      </c>
      <c r="B9" s="5" t="s">
        <v>232</v>
      </c>
      <c r="C9" s="4" t="s">
        <v>233</v>
      </c>
      <c r="D9" s="5" t="s">
        <v>234</v>
      </c>
      <c r="E9" s="5">
        <v>30</v>
      </c>
      <c r="F9" s="5">
        <v>6</v>
      </c>
      <c r="G9" s="5">
        <v>200</v>
      </c>
      <c r="H9" s="17">
        <f t="shared" si="0"/>
        <v>36000</v>
      </c>
      <c r="I9" s="7" t="s">
        <v>25</v>
      </c>
      <c r="J9" s="7" t="s">
        <v>25</v>
      </c>
      <c r="K9" s="7" t="s">
        <v>25</v>
      </c>
      <c r="L9" s="9">
        <f>H9*1</f>
        <v>36000</v>
      </c>
    </row>
    <row r="10" spans="1:12" s="6" customFormat="1" ht="17.25" customHeight="1">
      <c r="A10" s="484" t="s">
        <v>104</v>
      </c>
      <c r="B10" s="482"/>
      <c r="C10" s="482"/>
      <c r="D10" s="482"/>
      <c r="E10" s="482"/>
      <c r="F10" s="482"/>
      <c r="G10" s="482"/>
      <c r="H10" s="482"/>
      <c r="I10" s="482"/>
      <c r="J10" s="482"/>
      <c r="K10" s="483"/>
      <c r="L10" s="11">
        <f>SUM(L4:L9)</f>
        <v>1068000</v>
      </c>
    </row>
    <row r="11" spans="1:12" s="6" customFormat="1">
      <c r="A11" s="481" t="s">
        <v>105</v>
      </c>
      <c r="B11" s="482"/>
      <c r="C11" s="482"/>
      <c r="D11" s="482"/>
      <c r="E11" s="482"/>
      <c r="F11" s="482"/>
      <c r="G11" s="482"/>
      <c r="H11" s="482"/>
      <c r="I11" s="482"/>
      <c r="J11" s="482"/>
      <c r="K11" s="482"/>
      <c r="L11" s="483"/>
    </row>
    <row r="12" spans="1:12" s="6" customFormat="1" ht="220.95" customHeight="1">
      <c r="A12" s="4" t="s">
        <v>235</v>
      </c>
      <c r="B12" s="5" t="s">
        <v>236</v>
      </c>
      <c r="C12" s="4" t="s">
        <v>237</v>
      </c>
      <c r="D12" s="5" t="s">
        <v>23</v>
      </c>
      <c r="E12" s="5">
        <v>5</v>
      </c>
      <c r="F12" s="5">
        <v>12</v>
      </c>
      <c r="G12" s="5">
        <v>5000</v>
      </c>
      <c r="H12" s="17">
        <f>E12*F12*G12</f>
        <v>300000</v>
      </c>
      <c r="I12" s="7" t="s">
        <v>25</v>
      </c>
      <c r="J12" s="7"/>
      <c r="K12" s="7"/>
      <c r="L12" s="9">
        <f>H12*1</f>
        <v>300000</v>
      </c>
    </row>
    <row r="13" spans="1:12" s="6" customFormat="1" ht="205.5" customHeight="1">
      <c r="A13" s="4" t="s">
        <v>238</v>
      </c>
      <c r="B13" s="5" t="s">
        <v>239</v>
      </c>
      <c r="C13" s="4" t="s">
        <v>240</v>
      </c>
      <c r="D13" s="5" t="s">
        <v>23</v>
      </c>
      <c r="E13" s="5">
        <v>5</v>
      </c>
      <c r="F13" s="5">
        <v>12</v>
      </c>
      <c r="G13" s="5">
        <v>2500</v>
      </c>
      <c r="H13" s="17">
        <f>E13*F13*G13</f>
        <v>150000</v>
      </c>
      <c r="I13" s="7" t="s">
        <v>25</v>
      </c>
      <c r="J13" s="7" t="s">
        <v>25</v>
      </c>
      <c r="K13" s="7"/>
      <c r="L13" s="9">
        <f>H13*2</f>
        <v>300000</v>
      </c>
    </row>
    <row r="14" spans="1:12" s="6" customFormat="1" ht="255" customHeight="1">
      <c r="A14" s="4" t="s">
        <v>241</v>
      </c>
      <c r="B14" s="4" t="s">
        <v>242</v>
      </c>
      <c r="C14" s="4" t="s">
        <v>243</v>
      </c>
      <c r="D14" s="5" t="s">
        <v>23</v>
      </c>
      <c r="E14" s="5">
        <v>5</v>
      </c>
      <c r="F14" s="5">
        <v>12</v>
      </c>
      <c r="G14" s="5">
        <v>5000</v>
      </c>
      <c r="H14" s="17">
        <f>E14*F14*G14</f>
        <v>300000</v>
      </c>
      <c r="I14" s="7"/>
      <c r="J14" s="7" t="s">
        <v>25</v>
      </c>
      <c r="K14" s="7"/>
      <c r="L14" s="9">
        <f>H14*1</f>
        <v>300000</v>
      </c>
    </row>
    <row r="15" spans="1:12" ht="136.05000000000001" customHeight="1">
      <c r="A15" s="3" t="s">
        <v>244</v>
      </c>
      <c r="B15" s="12" t="s">
        <v>245</v>
      </c>
      <c r="C15" s="4" t="s">
        <v>246</v>
      </c>
      <c r="D15" s="5" t="s">
        <v>234</v>
      </c>
      <c r="E15" s="5">
        <v>300</v>
      </c>
      <c r="F15" s="5">
        <v>4</v>
      </c>
      <c r="G15" s="5">
        <v>50</v>
      </c>
      <c r="H15" s="17">
        <f>E15*F15*G15</f>
        <v>60000</v>
      </c>
      <c r="I15" s="2"/>
      <c r="J15" s="2"/>
      <c r="K15" s="2" t="s">
        <v>25</v>
      </c>
      <c r="L15" s="18">
        <f>H15*1</f>
        <v>60000</v>
      </c>
    </row>
    <row r="16" spans="1:12" s="6" customFormat="1" ht="17.25" customHeight="1">
      <c r="A16" s="484" t="s">
        <v>104</v>
      </c>
      <c r="B16" s="482"/>
      <c r="C16" s="482"/>
      <c r="D16" s="482"/>
      <c r="E16" s="482"/>
      <c r="F16" s="482"/>
      <c r="G16" s="482"/>
      <c r="H16" s="482"/>
      <c r="I16" s="482"/>
      <c r="J16" s="482"/>
      <c r="K16" s="483"/>
      <c r="L16" s="11">
        <f>SUM(L12:L15)</f>
        <v>960000</v>
      </c>
    </row>
    <row r="17" spans="1:12" s="6" customFormat="1">
      <c r="A17" s="13" t="s">
        <v>163</v>
      </c>
      <c r="B17" s="13"/>
      <c r="C17" s="13"/>
      <c r="D17" s="13"/>
      <c r="E17" s="13"/>
      <c r="F17" s="13"/>
      <c r="G17" s="13"/>
      <c r="H17" s="13"/>
      <c r="I17" s="13"/>
      <c r="J17" s="13"/>
      <c r="K17" s="13"/>
      <c r="L17" s="13"/>
    </row>
    <row r="18" spans="1:12" ht="118.95" customHeight="1">
      <c r="A18" s="3" t="s">
        <v>247</v>
      </c>
      <c r="B18" s="12" t="s">
        <v>248</v>
      </c>
      <c r="C18" s="3" t="s">
        <v>249</v>
      </c>
      <c r="D18" s="5" t="s">
        <v>23</v>
      </c>
      <c r="E18" s="5">
        <v>5</v>
      </c>
      <c r="F18" s="5">
        <v>12</v>
      </c>
      <c r="G18" s="5">
        <v>2000</v>
      </c>
      <c r="H18" s="17">
        <f>E18*F18*G18</f>
        <v>120000</v>
      </c>
      <c r="I18" s="16"/>
      <c r="J18" s="16" t="s">
        <v>25</v>
      </c>
      <c r="K18" s="16" t="s">
        <v>25</v>
      </c>
      <c r="L18" s="9">
        <f>H18*2</f>
        <v>240000</v>
      </c>
    </row>
    <row r="19" spans="1:12" ht="136.05000000000001" customHeight="1">
      <c r="A19" s="3" t="s">
        <v>250</v>
      </c>
      <c r="B19" s="12" t="s">
        <v>251</v>
      </c>
      <c r="C19" s="3" t="s">
        <v>252</v>
      </c>
      <c r="D19" s="5" t="s">
        <v>23</v>
      </c>
      <c r="E19" s="5">
        <v>5</v>
      </c>
      <c r="F19" s="5">
        <v>12</v>
      </c>
      <c r="G19" s="5">
        <v>2500</v>
      </c>
      <c r="H19" s="17">
        <f>E19*F19*G19</f>
        <v>150000</v>
      </c>
      <c r="I19" s="16"/>
      <c r="J19" s="16" t="s">
        <v>25</v>
      </c>
      <c r="K19" s="16" t="s">
        <v>25</v>
      </c>
      <c r="L19" s="18">
        <f>H19*1</f>
        <v>150000</v>
      </c>
    </row>
    <row r="20" spans="1:12" ht="118.95" customHeight="1">
      <c r="A20" s="3" t="s">
        <v>186</v>
      </c>
      <c r="B20" s="5" t="s">
        <v>217</v>
      </c>
      <c r="C20" s="4" t="s">
        <v>253</v>
      </c>
      <c r="D20" s="5" t="s">
        <v>23</v>
      </c>
      <c r="E20" s="5">
        <v>10</v>
      </c>
      <c r="F20" s="5">
        <v>6</v>
      </c>
      <c r="G20" s="5">
        <v>500</v>
      </c>
      <c r="H20" s="17">
        <f>E20*F20*G20</f>
        <v>30000</v>
      </c>
      <c r="I20" s="16"/>
      <c r="J20" s="16" t="s">
        <v>25</v>
      </c>
      <c r="K20" s="16" t="s">
        <v>25</v>
      </c>
      <c r="L20" s="18">
        <f>H20*2</f>
        <v>60000</v>
      </c>
    </row>
    <row r="21" spans="1:12" s="6" customFormat="1" ht="85.05" customHeight="1">
      <c r="A21" s="4" t="s">
        <v>254</v>
      </c>
      <c r="B21" s="4" t="s">
        <v>255</v>
      </c>
      <c r="C21" s="4" t="s">
        <v>256</v>
      </c>
      <c r="D21" s="5" t="s">
        <v>234</v>
      </c>
      <c r="E21" s="5">
        <f>300+300</f>
        <v>600</v>
      </c>
      <c r="F21" s="5">
        <v>4</v>
      </c>
      <c r="G21" s="5">
        <v>50</v>
      </c>
      <c r="H21" s="17">
        <f>E21*F21*G21</f>
        <v>120000</v>
      </c>
      <c r="I21" s="2"/>
      <c r="J21" s="2" t="s">
        <v>25</v>
      </c>
      <c r="K21" s="5"/>
      <c r="L21" s="18">
        <f>H21*1</f>
        <v>120000</v>
      </c>
    </row>
    <row r="22" spans="1:12" s="6" customFormat="1" ht="136.05000000000001" customHeight="1">
      <c r="A22" s="4" t="s">
        <v>257</v>
      </c>
      <c r="B22" s="4" t="s">
        <v>258</v>
      </c>
      <c r="C22" s="4" t="s">
        <v>246</v>
      </c>
      <c r="D22" s="5" t="s">
        <v>234</v>
      </c>
      <c r="E22" s="5">
        <f>300+300</f>
        <v>600</v>
      </c>
      <c r="F22" s="5">
        <v>4</v>
      </c>
      <c r="G22" s="5">
        <v>50</v>
      </c>
      <c r="H22" s="17">
        <f>E22*F22*G22</f>
        <v>120000</v>
      </c>
      <c r="I22" s="2"/>
      <c r="J22" s="2" t="s">
        <v>25</v>
      </c>
      <c r="L22" s="18">
        <f>H22*1</f>
        <v>120000</v>
      </c>
    </row>
    <row r="23" spans="1:12" s="6" customFormat="1" ht="17.25" customHeight="1">
      <c r="A23" s="484" t="s">
        <v>104</v>
      </c>
      <c r="B23" s="482"/>
      <c r="C23" s="482"/>
      <c r="D23" s="482"/>
      <c r="E23" s="482"/>
      <c r="F23" s="482"/>
      <c r="G23" s="482"/>
      <c r="H23" s="482"/>
      <c r="I23" s="482"/>
      <c r="J23" s="482"/>
      <c r="K23" s="483"/>
      <c r="L23" s="11">
        <f>SUM(L18:L22)</f>
        <v>690000</v>
      </c>
    </row>
    <row r="24" spans="1:12" ht="17.25" customHeight="1">
      <c r="A24" s="485" t="s">
        <v>8</v>
      </c>
      <c r="B24" s="482"/>
      <c r="C24" s="482"/>
      <c r="D24" s="482"/>
      <c r="E24" s="482"/>
      <c r="F24" s="482"/>
      <c r="G24" s="482"/>
      <c r="H24" s="482"/>
      <c r="I24" s="482"/>
      <c r="J24" s="482"/>
      <c r="K24" s="483"/>
      <c r="L24" s="15">
        <f>L23+L16+L10</f>
        <v>2718000</v>
      </c>
    </row>
  </sheetData>
  <mergeCells count="16">
    <mergeCell ref="A11:L11"/>
    <mergeCell ref="A16:K16"/>
    <mergeCell ref="A23:K23"/>
    <mergeCell ref="A24:K24"/>
    <mergeCell ref="G1:G2"/>
    <mergeCell ref="H1:H2"/>
    <mergeCell ref="I1:K1"/>
    <mergeCell ref="L1:L2"/>
    <mergeCell ref="A3:L3"/>
    <mergeCell ref="A10:K10"/>
    <mergeCell ref="A1:A2"/>
    <mergeCell ref="B1:B2"/>
    <mergeCell ref="C1:C2"/>
    <mergeCell ref="D1:D2"/>
    <mergeCell ref="E1:E2"/>
    <mergeCell ref="F1:F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55F732436BD414ABE4F9007290F88BC" ma:contentTypeVersion="32" ma:contentTypeDescription="Create a new document." ma:contentTypeScope="" ma:versionID="1bc55d21ccf65ea3244133f74b4ae2a9">
  <xsd:schema xmlns:xsd="http://www.w3.org/2001/XMLSchema" xmlns:xs="http://www.w3.org/2001/XMLSchema" xmlns:p="http://schemas.microsoft.com/office/2006/metadata/properties" xmlns:ns2="d9cf0e28-81d2-4dc7-8b10-820d80ed680d" xmlns:ns3="e91d5986-7c29-4ed1-8a54-b8fb378ed474" targetNamespace="http://schemas.microsoft.com/office/2006/metadata/properties" ma:root="true" ma:fieldsID="eaae514dcb1a7b42971ecd07a5244f11" ns2:_="" ns3:_="">
    <xsd:import namespace="d9cf0e28-81d2-4dc7-8b10-820d80ed680d"/>
    <xsd:import namespace="e91d5986-7c29-4ed1-8a54-b8fb378ed474"/>
    <xsd:element name="properties">
      <xsd:complexType>
        <xsd:sequence>
          <xsd:element name="documentManagement">
            <xsd:complexType>
              <xsd:all>
                <xsd:element ref="ns2:DocumentCategory" minOccurs="0"/>
                <xsd:element ref="ns2:DocumentType" minOccurs="0"/>
                <xsd:element ref="ns2:FileClassificationMode" minOccurs="0"/>
                <xsd:element ref="ns2:FileNameDescription" minOccurs="0"/>
                <xsd:element ref="ns2:ProjectNumber" minOccurs="0"/>
                <xsd:element ref="ns2:OperatingUnit" minOccurs="0"/>
                <xsd:element ref="ns2:Language" minOccurs="0"/>
                <xsd:element ref="ns2:FunctionalArea" minOccurs="0"/>
                <xsd:element ref="ns2:OutputNumber" minOccurs="0"/>
                <xsd:element ref="ns2:DocumentStatus" minOccurs="0"/>
                <xsd:element ref="ns2:DocCoverageStartDate" minOccurs="0"/>
                <xsd:element ref="ns2:DocCoverageEndDate" minOccurs="0"/>
                <xsd:element ref="ns2:FocusArea" minOccurs="0"/>
                <xsd:element ref="ns2:AuthorName" minOccurs="0"/>
                <xsd:element ref="ns2:OfficeCountry" minOccurs="0"/>
                <xsd:element ref="ns2:MediaServiceMetadata" minOccurs="0"/>
                <xsd:element ref="ns2:MediaServiceFastMetadata"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DateTaken" minOccurs="0"/>
                <xsd:element ref="ns2:MediaServiceObjectDetectorVersions" minOccurs="0"/>
                <xsd:element ref="ns2:MediaServiceLocation" minOccurs="0"/>
                <xsd:element ref="ns2:MediaServiceSearchProperties" minOccurs="0"/>
                <xsd:element ref="ns2:EventDate" minOccurs="0"/>
                <xsd:element ref="ns2:ProjectDocumentTyp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9cf0e28-81d2-4dc7-8b10-820d80ed680d" elementFormDefault="qualified">
    <xsd:import namespace="http://schemas.microsoft.com/office/2006/documentManagement/types"/>
    <xsd:import namespace="http://schemas.microsoft.com/office/infopath/2007/PartnerControls"/>
    <xsd:element name="DocumentCategory" ma:index="8" nillable="true" ma:displayName="DocumentCategory" ma:format="Dropdown" ma:internalName="DocumentCategory">
      <xsd:simpleType>
        <xsd:restriction base="dms:Text">
          <xsd:maxLength value="255"/>
        </xsd:restriction>
      </xsd:simpleType>
    </xsd:element>
    <xsd:element name="DocumentType" ma:index="9" nillable="true" ma:displayName="DocumentType" ma:format="Dropdown" ma:indexed="true" ma:internalName="DocumentType">
      <xsd:simpleType>
        <xsd:restriction base="dms:Text">
          <xsd:maxLength value="255"/>
        </xsd:restriction>
      </xsd:simpleType>
    </xsd:element>
    <xsd:element name="FileClassificationMode" ma:index="10" nillable="true" ma:displayName="FileClassificationMode" ma:format="Dropdown" ma:indexed="true" ma:internalName="FileClassificationMode">
      <xsd:simpleType>
        <xsd:restriction base="dms:Text">
          <xsd:maxLength value="255"/>
        </xsd:restriction>
      </xsd:simpleType>
    </xsd:element>
    <xsd:element name="FileNameDescription" ma:index="11" nillable="true" ma:displayName="FileNameDescription" ma:format="Dropdown" ma:indexed="true" ma:internalName="FileNameDescription">
      <xsd:simpleType>
        <xsd:restriction base="dms:Text">
          <xsd:maxLength value="255"/>
        </xsd:restriction>
      </xsd:simpleType>
    </xsd:element>
    <xsd:element name="ProjectNumber" ma:index="12" nillable="true" ma:displayName="ProjectNumber" ma:format="Dropdown" ma:indexed="true" ma:internalName="ProjectNumber">
      <xsd:simpleType>
        <xsd:restriction base="dms:Text">
          <xsd:maxLength value="255"/>
        </xsd:restriction>
      </xsd:simpleType>
    </xsd:element>
    <xsd:element name="OperatingUnit" ma:index="13" nillable="true" ma:displayName="OperatingUnit" ma:format="Dropdown" ma:indexed="true" ma:internalName="OperatingUnit">
      <xsd:simpleType>
        <xsd:restriction base="dms:Text">
          <xsd:maxLength value="255"/>
        </xsd:restriction>
      </xsd:simpleType>
    </xsd:element>
    <xsd:element name="Language" ma:index="14" nillable="true" ma:displayName="Language" ma:format="Dropdown" ma:internalName="Language">
      <xsd:simpleType>
        <xsd:restriction base="dms:Text">
          <xsd:maxLength value="255"/>
        </xsd:restriction>
      </xsd:simpleType>
    </xsd:element>
    <xsd:element name="FunctionalArea" ma:index="15" nillable="true" ma:displayName="FunctionalArea" ma:format="Dropdown" ma:internalName="FunctionalArea">
      <xsd:simpleType>
        <xsd:restriction base="dms:Text">
          <xsd:maxLength value="255"/>
        </xsd:restriction>
      </xsd:simpleType>
    </xsd:element>
    <xsd:element name="OutputNumber" ma:index="16" nillable="true" ma:displayName="OutputNumber" ma:format="Dropdown" ma:indexed="true" ma:internalName="OutputNumber">
      <xsd:simpleType>
        <xsd:restriction base="dms:Text">
          <xsd:maxLength value="255"/>
        </xsd:restriction>
      </xsd:simpleType>
    </xsd:element>
    <xsd:element name="DocumentStatus" ma:index="17" nillable="true" ma:displayName="DocumentStatus" ma:format="Dropdown" ma:internalName="DocumentStatus">
      <xsd:simpleType>
        <xsd:restriction base="dms:Text">
          <xsd:maxLength value="255"/>
        </xsd:restriction>
      </xsd:simpleType>
    </xsd:element>
    <xsd:element name="DocCoverageStartDate" ma:index="18" nillable="true" ma:displayName="DocCoverageStartDate" ma:default="[today]" ma:format="DateOnly" ma:indexed="true" ma:internalName="DocCoverageStartDate">
      <xsd:simpleType>
        <xsd:restriction base="dms:DateTime"/>
      </xsd:simpleType>
    </xsd:element>
    <xsd:element name="DocCoverageEndDate" ma:index="19" nillable="true" ma:displayName="DocCoverageEndDate" ma:format="DateOnly" ma:internalName="DocCoverageEndDate">
      <xsd:simpleType>
        <xsd:restriction base="dms:DateTime"/>
      </xsd:simpleType>
    </xsd:element>
    <xsd:element name="FocusArea" ma:index="20" nillable="true" ma:displayName="FocusArea" ma:format="Dropdown" ma:indexed="true" ma:internalName="FocusArea">
      <xsd:simpleType>
        <xsd:restriction base="dms:Text">
          <xsd:maxLength value="255"/>
        </xsd:restriction>
      </xsd:simpleType>
    </xsd:element>
    <xsd:element name="AuthorName" ma:index="21" nillable="true" ma:displayName="AuthorName" ma:format="Dropdown" ma:indexed="true" ma:internalName="AuthorName">
      <xsd:simpleType>
        <xsd:restriction base="dms:Text">
          <xsd:maxLength value="255"/>
        </xsd:restriction>
      </xsd:simpleType>
    </xsd:element>
    <xsd:element name="OfficeCountry" ma:index="22" nillable="true" ma:displayName="OfficeCountry" ma:format="Dropdown" ma:indexed="true" ma:internalName="OfficeCountry">
      <xsd:simpleType>
        <xsd:restriction base="dms:Text">
          <xsd:maxLength value="255"/>
        </xsd:restriction>
      </xsd:simpleType>
    </xsd:element>
    <xsd:element name="MediaServiceMetadata" ma:index="23" nillable="true" ma:displayName="MediaServiceMetadata" ma:hidden="true" ma:internalName="MediaServiceMetadata" ma:readOnly="true">
      <xsd:simpleType>
        <xsd:restriction base="dms:Note"/>
      </xsd:simpleType>
    </xsd:element>
    <xsd:element name="MediaServiceFastMetadata" ma:index="24" nillable="true" ma:displayName="MediaServiceFastMetadata" ma:hidden="true" ma:internalName="MediaServiceFastMetadata" ma:readOnly="true">
      <xsd:simpleType>
        <xsd:restriction base="dms:Note"/>
      </xsd:simpleType>
    </xsd:element>
    <xsd:element name="MediaLengthInSeconds" ma:index="25" nillable="true" ma:displayName="MediaLengthInSeconds" ma:hidden="true" ma:internalName="MediaLengthInSeconds" ma:readOnly="true">
      <xsd:simpleType>
        <xsd:restriction base="dms:Unknown"/>
      </xsd:simpleType>
    </xsd:element>
    <xsd:element name="lcf76f155ced4ddcb4097134ff3c332f" ma:index="27" nillable="true" ma:taxonomy="true" ma:internalName="lcf76f155ced4ddcb4097134ff3c332f" ma:taxonomyFieldName="MediaServiceImageTags" ma:displayName="Image Tags" ma:readOnly="false" ma:fieldId="{5cf76f15-5ced-4ddc-b409-7134ff3c332f}" ma:taxonomyMulti="true" ma:sspId="f8ebb0a5-c57d-4c3a-bec7-8a38252dd05c" ma:termSetId="09814cd3-568e-fe90-9814-8d621ff8fb84" ma:anchorId="fba54fb3-c3e1-fe81-a776-ca4b69148c4d" ma:open="true" ma:isKeyword="false">
      <xsd:complexType>
        <xsd:sequence>
          <xsd:element ref="pc:Terms" minOccurs="0" maxOccurs="1"/>
        </xsd:sequence>
      </xsd:complex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ServiceOCR" ma:index="31" nillable="true" ma:displayName="Extracted Text" ma:internalName="MediaServiceOCR" ma:readOnly="true">
      <xsd:simpleType>
        <xsd:restriction base="dms:Note">
          <xsd:maxLength value="255"/>
        </xsd:restriction>
      </xsd:simpleType>
    </xsd:element>
    <xsd:element name="MediaServiceDateTaken" ma:index="32" nillable="true" ma:displayName="MediaServiceDateTaken" ma:hidden="true" ma:indexed="true" ma:internalName="MediaServiceDateTaken" ma:readOnly="true">
      <xsd:simpleType>
        <xsd:restriction base="dms:Text"/>
      </xsd:simpleType>
    </xsd:element>
    <xsd:element name="MediaServiceObjectDetectorVersions" ma:index="33" nillable="true" ma:displayName="MediaServiceObjectDetectorVersions" ma:hidden="true" ma:indexed="true" ma:internalName="MediaServiceObjectDetectorVersions" ma:readOnly="true">
      <xsd:simpleType>
        <xsd:restriction base="dms:Text"/>
      </xsd:simpleType>
    </xsd:element>
    <xsd:element name="MediaServiceLocation" ma:index="34" nillable="true" ma:displayName="Location" ma:indexed="true" ma:internalName="MediaServiceLocation" ma:readOnly="true">
      <xsd:simpleType>
        <xsd:restriction base="dms:Text"/>
      </xsd:simpleType>
    </xsd:element>
    <xsd:element name="MediaServiceSearchProperties" ma:index="35" nillable="true" ma:displayName="MediaServiceSearchProperties" ma:hidden="true" ma:internalName="MediaServiceSearchProperties" ma:readOnly="true">
      <xsd:simpleType>
        <xsd:restriction base="dms:Note"/>
      </xsd:simpleType>
    </xsd:element>
    <xsd:element name="EventDate" ma:index="36" nillable="true" ma:displayName="EventDate" ma:format="DateOnly" ma:internalName="EventDate">
      <xsd:simpleType>
        <xsd:restriction base="dms:DateTime"/>
      </xsd:simpleType>
    </xsd:element>
    <xsd:element name="ProjectDocumentTypes" ma:index="37" nillable="true" ma:displayName="ProjectDocumentTypes" ma:format="Dropdown" ma:internalName="ProjectDocumentTypes">
      <xsd:simpleType>
        <xsd:restriction base="dms:Choice">
          <xsd:enumeration value="Project Board Meeting Minutes"/>
          <xsd:enumeration value="Monitoring/Field visit report"/>
          <xsd:enumeration value="Sustainability Plan"/>
          <xsd:enumeration value="Combined Delivery reports (CDR)"/>
        </xsd:restriction>
      </xsd:simpleType>
    </xsd:element>
  </xsd:schema>
  <xsd:schema xmlns:xsd="http://www.w3.org/2001/XMLSchema" xmlns:xs="http://www.w3.org/2001/XMLSchema" xmlns:dms="http://schemas.microsoft.com/office/2006/documentManagement/types" xmlns:pc="http://schemas.microsoft.com/office/infopath/2007/PartnerControls" targetNamespace="e91d5986-7c29-4ed1-8a54-b8fb378ed474" elementFormDefault="qualified">
    <xsd:import namespace="http://schemas.microsoft.com/office/2006/documentManagement/types"/>
    <xsd:import namespace="http://schemas.microsoft.com/office/infopath/2007/PartnerControls"/>
    <xsd:element name="TaxCatchAll" ma:index="28" nillable="true" ma:displayName="Taxonomy Catch All Column" ma:hidden="true" ma:list="{89ecd518-8760-4857-902e-5583cb61199f}" ma:internalName="TaxCatchAll" ma:showField="CatchAllData" ma:web="e91d5986-7c29-4ed1-8a54-b8fb378ed47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OfficeCountry xmlns="d9cf0e28-81d2-4dc7-8b10-820d80ed680d">B0382 - United Republic of Tanzania</OfficeCountry>
    <DocumentStatus xmlns="d9cf0e28-81d2-4dc7-8b10-820d80ed680d">Approved</DocumentStatus>
    <DocCoverageEndDate xmlns="d9cf0e28-81d2-4dc7-8b10-820d80ed680d">2027-01-31T05:00:00+00:00</DocCoverageEndDate>
    <TaxCatchAll xmlns="e91d5986-7c29-4ed1-8a54-b8fb378ed474" xsi:nil="true"/>
    <EventDate xmlns="d9cf0e28-81d2-4dc7-8b10-820d80ed680d" xsi:nil="true"/>
    <ProjectDocumentTypes xmlns="d9cf0e28-81d2-4dc7-8b10-820d80ed680d" xsi:nil="true"/>
    <FunctionalArea xmlns="d9cf0e28-81d2-4dc7-8b10-820d80ed680d">Programme and Project</FunctionalArea>
    <FileNameDescription xmlns="d9cf0e28-81d2-4dc7-8b10-820d80ed680d" xsi:nil="true"/>
    <ProjectNumber xmlns="d9cf0e28-81d2-4dc7-8b10-820d80ed680d">01005395</ProjectNumber>
    <DocumentType xmlns="d9cf0e28-81d2-4dc7-8b10-820d80ed680d">Annual/Multi-year Workplan</DocumentType>
    <Language xmlns="d9cf0e28-81d2-4dc7-8b10-820d80ed680d">English</Language>
    <AuthorName xmlns="d9cf0e28-81d2-4dc7-8b10-820d80ed680d">UNDP</AuthorName>
    <DocumentCategory xmlns="d9cf0e28-81d2-4dc7-8b10-820d80ed680d">Project</DocumentCategory>
    <OperatingUnit xmlns="d9cf0e28-81d2-4dc7-8b10-820d80ed680d">UNDP-TZA</OperatingUnit>
    <lcf76f155ced4ddcb4097134ff3c332f xmlns="d9cf0e28-81d2-4dc7-8b10-820d80ed680d">
      <Terms xmlns="http://schemas.microsoft.com/office/infopath/2007/PartnerControls"/>
    </lcf76f155ced4ddcb4097134ff3c332f>
    <FocusArea xmlns="d9cf0e28-81d2-4dc7-8b10-820d80ed680d">Poverty Reduction</FocusArea>
    <DocCoverageStartDate xmlns="d9cf0e28-81d2-4dc7-8b10-820d80ed680d">2026-01-01T05:00:00+00:00</DocCoverageStartDate>
    <FileClassificationMode xmlns="d9cf0e28-81d2-4dc7-8b10-820d80ed680d">Public</FileClassificationMode>
    <OutputNumber xmlns="d9cf0e28-81d2-4dc7-8b10-820d80ed680d" xsi:nil="true"/>
  </documentManagement>
</p:properties>
</file>

<file path=customXml/itemProps1.xml><?xml version="1.0" encoding="utf-8"?>
<ds:datastoreItem xmlns:ds="http://schemas.openxmlformats.org/officeDocument/2006/customXml" ds:itemID="{075D7790-619C-49B9-BBB9-F06D7418AF63}"/>
</file>

<file path=customXml/itemProps2.xml><?xml version="1.0" encoding="utf-8"?>
<ds:datastoreItem xmlns:ds="http://schemas.openxmlformats.org/officeDocument/2006/customXml" ds:itemID="{330881B4-780F-4EA3-9022-91D777BF50C8}"/>
</file>

<file path=customXml/itemProps3.xml><?xml version="1.0" encoding="utf-8"?>
<ds:datastoreItem xmlns:ds="http://schemas.openxmlformats.org/officeDocument/2006/customXml" ds:itemID="{26E09903-53B7-4148-8D3A-25125C72C35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Detailed Budget</vt:lpstr>
      <vt:lpstr>UNDP TASFAM Workplan</vt:lpstr>
      <vt:lpstr>QUANTUM PROJECT LAYOUT</vt:lpstr>
      <vt:lpstr>Workplan Inputs</vt:lpstr>
      <vt:lpstr>Old Budget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Federica Margini</dc:creator>
  <cp:lastModifiedBy>Symon Nkonoki</cp:lastModifiedBy>
  <dcterms:created xsi:type="dcterms:W3CDTF">2023-11-21T11:05:15Z</dcterms:created>
  <dcterms:modified xsi:type="dcterms:W3CDTF">2026-01-17T08:53:59Z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0x010100155F732436BD414ABE4F9007290F88BC</vt:lpwstr>
  </property>
</Properties>
</file>